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4 Budget\"/>
    </mc:Choice>
  </mc:AlternateContent>
  <bookViews>
    <workbookView xWindow="0" yWindow="0" windowWidth="28800" windowHeight="12435" firstSheet="6" activeTab="7"/>
  </bookViews>
  <sheets>
    <sheet name="Sheet1" sheetId="1" r:id="rId1"/>
    <sheet name="Sheet2" sheetId="2" r:id="rId2"/>
    <sheet name="Updated" sheetId="3" r:id="rId3"/>
    <sheet name="Updated Projects" sheetId="4" r:id="rId4"/>
    <sheet name="Updated Projects (2)" sheetId="6" r:id="rId5"/>
    <sheet name="2021-22 Proposed Budget" sheetId="5" r:id="rId6"/>
    <sheet name="2022-23 Proposed Budget" sheetId="7" r:id="rId7"/>
    <sheet name="2023-24 Proposed Budget" sheetId="8" r:id="rId8"/>
  </sheets>
  <definedNames>
    <definedName name="_xlnm.Print_Area" localSheetId="5">'2021-22 Proposed Budget'!$A$1:$W$67</definedName>
    <definedName name="_xlnm.Print_Area" localSheetId="6">'2022-23 Proposed Budget'!$A$1:$Z$67</definedName>
    <definedName name="_xlnm.Print_Area" localSheetId="7">'2023-24 Proposed Budget'!$A$1:$AB$67</definedName>
    <definedName name="_xlnm.Print_Area" localSheetId="0">Sheet1!$A$1:$R$67</definedName>
    <definedName name="_xlnm.Print_Area" localSheetId="2">Updated!$A$1:$U$67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8" i="8" l="1"/>
  <c r="Y48" i="8"/>
  <c r="Y34" i="8"/>
  <c r="Y49" i="8"/>
  <c r="Y38" i="8"/>
  <c r="Y37" i="8"/>
  <c r="Y19" i="8"/>
  <c r="Y18" i="8"/>
  <c r="V58" i="8"/>
  <c r="V50" i="8"/>
  <c r="V38" i="8" l="1"/>
  <c r="V37" i="8"/>
  <c r="V19" i="8"/>
  <c r="V18" i="8"/>
  <c r="X38" i="8"/>
  <c r="X37" i="8"/>
  <c r="X19" i="8"/>
  <c r="X18" i="8"/>
  <c r="X39" i="8" l="1"/>
  <c r="X58" i="8"/>
  <c r="X51" i="8"/>
  <c r="X43" i="8"/>
  <c r="X42" i="8"/>
  <c r="X14" i="8"/>
  <c r="X50" i="8"/>
  <c r="X27" i="8" l="1"/>
  <c r="X8" i="8"/>
  <c r="X55" i="8"/>
  <c r="Y42" i="8"/>
  <c r="Y59" i="8"/>
  <c r="X59" i="8"/>
  <c r="X22" i="8"/>
  <c r="Y33" i="8"/>
  <c r="Y35" i="8" s="1"/>
  <c r="X33" i="8"/>
  <c r="X35" i="8" s="1"/>
  <c r="S59" i="8"/>
  <c r="R59" i="8"/>
  <c r="Q59" i="8"/>
  <c r="P59" i="8"/>
  <c r="O59" i="8"/>
  <c r="N59" i="8"/>
  <c r="M59" i="8"/>
  <c r="L59" i="8"/>
  <c r="K59" i="8"/>
  <c r="I59" i="8"/>
  <c r="H59" i="8"/>
  <c r="G59" i="8"/>
  <c r="F59" i="8"/>
  <c r="E59" i="8"/>
  <c r="D59" i="8"/>
  <c r="T58" i="8"/>
  <c r="V55" i="8"/>
  <c r="U48" i="8"/>
  <c r="T48" i="8"/>
  <c r="T42" i="8"/>
  <c r="U38" i="8"/>
  <c r="T38" i="8"/>
  <c r="S38" i="8"/>
  <c r="J38" i="8"/>
  <c r="J59" i="8" s="1"/>
  <c r="V59" i="8"/>
  <c r="U37" i="8"/>
  <c r="T37" i="8"/>
  <c r="T59" i="8" s="1"/>
  <c r="S37" i="8"/>
  <c r="R35" i="8"/>
  <c r="R61" i="8" s="1"/>
  <c r="N35" i="8"/>
  <c r="F35" i="8"/>
  <c r="F34" i="8"/>
  <c r="T33" i="8"/>
  <c r="T35" i="8" s="1"/>
  <c r="T61" i="8" s="1"/>
  <c r="R33" i="8"/>
  <c r="Q33" i="8"/>
  <c r="Q35" i="8" s="1"/>
  <c r="Q61" i="8" s="1"/>
  <c r="P33" i="8"/>
  <c r="P35" i="8" s="1"/>
  <c r="P61" i="8" s="1"/>
  <c r="O33" i="8"/>
  <c r="O35" i="8" s="1"/>
  <c r="O61" i="8" s="1"/>
  <c r="N33" i="8"/>
  <c r="M33" i="8"/>
  <c r="M35" i="8" s="1"/>
  <c r="M61" i="8" s="1"/>
  <c r="L33" i="8"/>
  <c r="L35" i="8" s="1"/>
  <c r="L61" i="8" s="1"/>
  <c r="K33" i="8"/>
  <c r="K35" i="8" s="1"/>
  <c r="K61" i="8" s="1"/>
  <c r="I33" i="8"/>
  <c r="I35" i="8" s="1"/>
  <c r="I61" i="8" s="1"/>
  <c r="H33" i="8"/>
  <c r="H35" i="8" s="1"/>
  <c r="H61" i="8" s="1"/>
  <c r="G33" i="8"/>
  <c r="G35" i="8" s="1"/>
  <c r="F33" i="8"/>
  <c r="E33" i="8"/>
  <c r="E35" i="8" s="1"/>
  <c r="E61" i="8" s="1"/>
  <c r="D33" i="8"/>
  <c r="D35" i="8" s="1"/>
  <c r="D61" i="8" s="1"/>
  <c r="U26" i="8"/>
  <c r="V22" i="8"/>
  <c r="U19" i="8"/>
  <c r="T19" i="8"/>
  <c r="S19" i="8"/>
  <c r="J19" i="8"/>
  <c r="J33" i="8" s="1"/>
  <c r="J35" i="8" s="1"/>
  <c r="J61" i="8" s="1"/>
  <c r="U18" i="8"/>
  <c r="T18" i="8"/>
  <c r="S18" i="8"/>
  <c r="S33" i="8" s="1"/>
  <c r="U15" i="8"/>
  <c r="R15" i="8"/>
  <c r="R60" i="8" s="1"/>
  <c r="P15" i="8"/>
  <c r="P63" i="8" s="1"/>
  <c r="O15" i="8"/>
  <c r="O63" i="8" s="1"/>
  <c r="N15" i="8"/>
  <c r="N60" i="8" s="1"/>
  <c r="L15" i="8"/>
  <c r="L63" i="8" s="1"/>
  <c r="K15" i="8"/>
  <c r="K63" i="8" s="1"/>
  <c r="J15" i="8"/>
  <c r="H15" i="8"/>
  <c r="H63" i="8" s="1"/>
  <c r="G15" i="8"/>
  <c r="F15" i="8"/>
  <c r="F60" i="8" s="1"/>
  <c r="E15" i="8"/>
  <c r="E63" i="8" s="1"/>
  <c r="I10" i="8" s="1"/>
  <c r="I15" i="8" s="1"/>
  <c r="I63" i="8" s="1"/>
  <c r="M10" i="8" s="1"/>
  <c r="M15" i="8" s="1"/>
  <c r="M63" i="8" s="1"/>
  <c r="Q10" i="8" s="1"/>
  <c r="Q15" i="8" s="1"/>
  <c r="Q63" i="8" s="1"/>
  <c r="S10" i="8" s="1"/>
  <c r="S15" i="8" s="1"/>
  <c r="D15" i="8"/>
  <c r="D63" i="8" s="1"/>
  <c r="X61" i="8" l="1"/>
  <c r="S35" i="8"/>
  <c r="Z33" i="8"/>
  <c r="F61" i="8"/>
  <c r="G63" i="8"/>
  <c r="G61" i="8"/>
  <c r="V33" i="8"/>
  <c r="V35" i="8" s="1"/>
  <c r="V61" i="8" s="1"/>
  <c r="N61" i="8"/>
  <c r="U33" i="8"/>
  <c r="U35" i="8" s="1"/>
  <c r="U59" i="8"/>
  <c r="W48" i="7"/>
  <c r="W42" i="7"/>
  <c r="V39" i="7"/>
  <c r="W38" i="7"/>
  <c r="W37" i="7"/>
  <c r="W19" i="7"/>
  <c r="W18" i="7"/>
  <c r="V31" i="7"/>
  <c r="V58" i="7"/>
  <c r="V48" i="7"/>
  <c r="V51" i="7"/>
  <c r="V50" i="7"/>
  <c r="V55" i="7"/>
  <c r="V42" i="7"/>
  <c r="V45" i="7"/>
  <c r="V38" i="7"/>
  <c r="V37" i="7"/>
  <c r="V26" i="7"/>
  <c r="V27" i="7"/>
  <c r="V19" i="7"/>
  <c r="V18" i="7"/>
  <c r="V14" i="7"/>
  <c r="V10" i="7"/>
  <c r="U60" i="8" l="1"/>
  <c r="U61" i="8" s="1"/>
  <c r="Z35" i="8"/>
  <c r="S61" i="8"/>
  <c r="S63" i="8"/>
  <c r="T10" i="8" s="1"/>
  <c r="T15" i="8" s="1"/>
  <c r="T63" i="8" s="1"/>
  <c r="V10" i="8" s="1"/>
  <c r="V15" i="8" s="1"/>
  <c r="V63" i="8" s="1"/>
  <c r="T58" i="7"/>
  <c r="T42" i="7"/>
  <c r="T48" i="7"/>
  <c r="T38" i="7"/>
  <c r="T37" i="7"/>
  <c r="T19" i="7"/>
  <c r="T18" i="7"/>
  <c r="U19" i="7"/>
  <c r="U18" i="7"/>
  <c r="U26" i="7"/>
  <c r="U38" i="7"/>
  <c r="U37" i="7"/>
  <c r="X10" i="8" l="1"/>
  <c r="X15" i="8" s="1"/>
  <c r="X63" i="8" s="1"/>
  <c r="Y10" i="8" s="1"/>
  <c r="Y15" i="8" s="1"/>
  <c r="Y60" i="8" s="1"/>
  <c r="Y61" i="8" s="1"/>
  <c r="V43" i="7"/>
  <c r="V22" i="7"/>
  <c r="W59" i="7" l="1"/>
  <c r="V59" i="7"/>
  <c r="V33" i="7"/>
  <c r="V35" i="7" s="1"/>
  <c r="W33" i="7"/>
  <c r="W35" i="7" s="1"/>
  <c r="R59" i="7"/>
  <c r="Q59" i="7"/>
  <c r="P59" i="7"/>
  <c r="O59" i="7"/>
  <c r="N59" i="7"/>
  <c r="M59" i="7"/>
  <c r="L59" i="7"/>
  <c r="K59" i="7"/>
  <c r="I59" i="7"/>
  <c r="H59" i="7"/>
  <c r="G59" i="7"/>
  <c r="F59" i="7"/>
  <c r="E59" i="7"/>
  <c r="D59" i="7"/>
  <c r="U48" i="7"/>
  <c r="U59" i="7" s="1"/>
  <c r="S38" i="7"/>
  <c r="J38" i="7"/>
  <c r="J59" i="7" s="1"/>
  <c r="S37" i="7"/>
  <c r="F34" i="7"/>
  <c r="R33" i="7"/>
  <c r="R35" i="7" s="1"/>
  <c r="Q33" i="7"/>
  <c r="Q35" i="7" s="1"/>
  <c r="P33" i="7"/>
  <c r="P35" i="7" s="1"/>
  <c r="O33" i="7"/>
  <c r="O35" i="7" s="1"/>
  <c r="N33" i="7"/>
  <c r="N35" i="7" s="1"/>
  <c r="M33" i="7"/>
  <c r="M35" i="7" s="1"/>
  <c r="L33" i="7"/>
  <c r="L35" i="7" s="1"/>
  <c r="K33" i="7"/>
  <c r="K35" i="7" s="1"/>
  <c r="I33" i="7"/>
  <c r="I35" i="7" s="1"/>
  <c r="I61" i="7" s="1"/>
  <c r="H33" i="7"/>
  <c r="H35" i="7" s="1"/>
  <c r="G33" i="7"/>
  <c r="G35" i="7" s="1"/>
  <c r="F33" i="7"/>
  <c r="E33" i="7"/>
  <c r="E35" i="7" s="1"/>
  <c r="E61" i="7" s="1"/>
  <c r="D33" i="7"/>
  <c r="D35" i="7" s="1"/>
  <c r="S19" i="7"/>
  <c r="J19" i="7"/>
  <c r="J33" i="7" s="1"/>
  <c r="J35" i="7" s="1"/>
  <c r="U33" i="7"/>
  <c r="U35" i="7" s="1"/>
  <c r="S18" i="7"/>
  <c r="R15" i="7"/>
  <c r="P15" i="7"/>
  <c r="O15" i="7"/>
  <c r="N15" i="7"/>
  <c r="L15" i="7"/>
  <c r="K15" i="7"/>
  <c r="J15" i="7"/>
  <c r="H15" i="7"/>
  <c r="G15" i="7"/>
  <c r="F15" i="7"/>
  <c r="E15" i="7"/>
  <c r="D15" i="7"/>
  <c r="V61" i="7" l="1"/>
  <c r="K63" i="7"/>
  <c r="K61" i="7"/>
  <c r="O61" i="7"/>
  <c r="G61" i="7"/>
  <c r="L61" i="7"/>
  <c r="P61" i="7"/>
  <c r="D61" i="7"/>
  <c r="H61" i="7"/>
  <c r="O63" i="7"/>
  <c r="S33" i="7"/>
  <c r="J61" i="7"/>
  <c r="F35" i="7"/>
  <c r="F60" i="7" s="1"/>
  <c r="F61" i="7" s="1"/>
  <c r="D63" i="7"/>
  <c r="H63" i="7"/>
  <c r="P63" i="7"/>
  <c r="M61" i="7"/>
  <c r="Q61" i="7"/>
  <c r="S59" i="7"/>
  <c r="L63" i="7"/>
  <c r="T33" i="7"/>
  <c r="T35" i="7" s="1"/>
  <c r="T59" i="7"/>
  <c r="S35" i="7"/>
  <c r="X33" i="7"/>
  <c r="E63" i="7"/>
  <c r="I10" i="7" s="1"/>
  <c r="I15" i="7" s="1"/>
  <c r="I63" i="7" s="1"/>
  <c r="M10" i="7" s="1"/>
  <c r="M15" i="7" s="1"/>
  <c r="M63" i="7" s="1"/>
  <c r="Q10" i="7" s="1"/>
  <c r="Q15" i="7" s="1"/>
  <c r="Q63" i="7" s="1"/>
  <c r="S10" i="7" s="1"/>
  <c r="S15" i="7" s="1"/>
  <c r="N60" i="7"/>
  <c r="N61" i="7" s="1"/>
  <c r="G63" i="7"/>
  <c r="R60" i="7"/>
  <c r="R61" i="7" s="1"/>
  <c r="T61" i="7" l="1"/>
  <c r="S61" i="7"/>
  <c r="X35" i="7"/>
  <c r="S63" i="7"/>
  <c r="T10" i="7" l="1"/>
  <c r="T15" i="7"/>
  <c r="T63" i="7" s="1"/>
  <c r="U15" i="7" l="1"/>
  <c r="U60" i="7" s="1"/>
  <c r="U61" i="7" s="1"/>
  <c r="V15" i="7"/>
  <c r="V63" i="7" s="1"/>
  <c r="W10" i="7" s="1"/>
  <c r="W15" i="7" s="1"/>
  <c r="W60" i="7" s="1"/>
  <c r="W61" i="7" s="1"/>
  <c r="V10" i="5" l="1"/>
  <c r="V19" i="5" l="1"/>
  <c r="V18" i="5"/>
  <c r="V38" i="5"/>
  <c r="V37" i="5"/>
  <c r="V57" i="5"/>
  <c r="V32" i="5"/>
  <c r="V31" i="5"/>
  <c r="V39" i="5"/>
  <c r="V48" i="5"/>
  <c r="V43" i="5"/>
  <c r="V42" i="5"/>
  <c r="V28" i="5"/>
  <c r="V27" i="5"/>
  <c r="V26" i="5"/>
  <c r="V59" i="5"/>
  <c r="V33" i="5"/>
  <c r="V35" i="5" s="1"/>
  <c r="U50" i="5"/>
  <c r="U42" i="5"/>
  <c r="U48" i="5"/>
  <c r="U34" i="5"/>
  <c r="U58" i="5"/>
  <c r="U43" i="5"/>
  <c r="U39" i="5"/>
  <c r="U38" i="5"/>
  <c r="U37" i="5"/>
  <c r="U27" i="5"/>
  <c r="U26" i="5"/>
  <c r="U51" i="5"/>
  <c r="U19" i="5"/>
  <c r="U18" i="5"/>
  <c r="U45" i="5"/>
  <c r="U55" i="5"/>
  <c r="U22" i="5"/>
  <c r="U14" i="5"/>
  <c r="U12" i="5"/>
  <c r="U9" i="5"/>
  <c r="U8" i="5"/>
  <c r="U33" i="5"/>
  <c r="U35" i="5" l="1"/>
  <c r="U59" i="5"/>
  <c r="U61" i="5" s="1"/>
  <c r="D42" i="6" l="1"/>
  <c r="D41" i="6"/>
  <c r="D40" i="6"/>
  <c r="D39" i="6"/>
  <c r="D38" i="6"/>
  <c r="D37" i="6"/>
  <c r="D43" i="6" s="1"/>
  <c r="T30" i="6"/>
  <c r="S30" i="6"/>
  <c r="R30" i="6"/>
  <c r="Q30" i="6"/>
  <c r="P30" i="6"/>
  <c r="O30" i="6"/>
  <c r="N30" i="6"/>
  <c r="L30" i="6"/>
  <c r="K30" i="6"/>
  <c r="J30" i="6"/>
  <c r="I30" i="6"/>
  <c r="H30" i="6"/>
  <c r="G30" i="6"/>
  <c r="F30" i="6"/>
  <c r="E30" i="6"/>
  <c r="D30" i="6"/>
  <c r="T59" i="5"/>
  <c r="R59" i="5"/>
  <c r="Q59" i="5"/>
  <c r="P59" i="5"/>
  <c r="O59" i="5"/>
  <c r="N59" i="5"/>
  <c r="M59" i="5"/>
  <c r="L59" i="5"/>
  <c r="K59" i="5"/>
  <c r="I59" i="5"/>
  <c r="H59" i="5"/>
  <c r="G59" i="5"/>
  <c r="F59" i="5"/>
  <c r="E59" i="5"/>
  <c r="D59" i="5"/>
  <c r="S38" i="5"/>
  <c r="J38" i="5"/>
  <c r="J59" i="5" s="1"/>
  <c r="S37" i="5"/>
  <c r="S59" i="5" s="1"/>
  <c r="F34" i="5"/>
  <c r="F35" i="5" s="1"/>
  <c r="T33" i="5"/>
  <c r="T35" i="5" s="1"/>
  <c r="R33" i="5"/>
  <c r="R35" i="5" s="1"/>
  <c r="Q33" i="5"/>
  <c r="Q35" i="5" s="1"/>
  <c r="Q61" i="5" s="1"/>
  <c r="P33" i="5"/>
  <c r="P35" i="5" s="1"/>
  <c r="P61" i="5" s="1"/>
  <c r="O33" i="5"/>
  <c r="O35" i="5" s="1"/>
  <c r="O61" i="5" s="1"/>
  <c r="N33" i="5"/>
  <c r="N35" i="5" s="1"/>
  <c r="M33" i="5"/>
  <c r="M35" i="5" s="1"/>
  <c r="M61" i="5" s="1"/>
  <c r="L33" i="5"/>
  <c r="L35" i="5" s="1"/>
  <c r="L61" i="5" s="1"/>
  <c r="K33" i="5"/>
  <c r="K35" i="5" s="1"/>
  <c r="K61" i="5" s="1"/>
  <c r="I33" i="5"/>
  <c r="I35" i="5" s="1"/>
  <c r="I61" i="5" s="1"/>
  <c r="H33" i="5"/>
  <c r="H35" i="5" s="1"/>
  <c r="H63" i="5" s="1"/>
  <c r="G33" i="5"/>
  <c r="G35" i="5" s="1"/>
  <c r="G61" i="5" s="1"/>
  <c r="F33" i="5"/>
  <c r="E33" i="5"/>
  <c r="E35" i="5" s="1"/>
  <c r="E61" i="5" s="1"/>
  <c r="D33" i="5"/>
  <c r="D35" i="5" s="1"/>
  <c r="D61" i="5" s="1"/>
  <c r="S19" i="5"/>
  <c r="J19" i="5"/>
  <c r="J33" i="5" s="1"/>
  <c r="J35" i="5" s="1"/>
  <c r="S18" i="5"/>
  <c r="S33" i="5" s="1"/>
  <c r="R15" i="5"/>
  <c r="P15" i="5"/>
  <c r="P63" i="5" s="1"/>
  <c r="O15" i="5"/>
  <c r="O63" i="5" s="1"/>
  <c r="N15" i="5"/>
  <c r="L15" i="5"/>
  <c r="L63" i="5" s="1"/>
  <c r="K15" i="5"/>
  <c r="K63" i="5" s="1"/>
  <c r="J15" i="5"/>
  <c r="H15" i="5"/>
  <c r="G15" i="5"/>
  <c r="F15" i="5"/>
  <c r="E15" i="5"/>
  <c r="D15" i="5"/>
  <c r="D63" i="5" l="1"/>
  <c r="N60" i="5"/>
  <c r="S35" i="5"/>
  <c r="W33" i="5"/>
  <c r="E63" i="5"/>
  <c r="I10" i="5" s="1"/>
  <c r="I15" i="5" s="1"/>
  <c r="I63" i="5" s="1"/>
  <c r="M10" i="5" s="1"/>
  <c r="M15" i="5" s="1"/>
  <c r="M63" i="5" s="1"/>
  <c r="Q10" i="5" s="1"/>
  <c r="Q15" i="5" s="1"/>
  <c r="Q63" i="5" s="1"/>
  <c r="S10" i="5" s="1"/>
  <c r="S15" i="5" s="1"/>
  <c r="S63" i="5" s="1"/>
  <c r="T10" i="5" s="1"/>
  <c r="G63" i="5"/>
  <c r="J61" i="5"/>
  <c r="N61" i="5"/>
  <c r="F60" i="5"/>
  <c r="F61" i="5" s="1"/>
  <c r="R60" i="5"/>
  <c r="R61" i="5" s="1"/>
  <c r="H61" i="5"/>
  <c r="Q30" i="4"/>
  <c r="S30" i="4"/>
  <c r="D42" i="4"/>
  <c r="D41" i="4"/>
  <c r="D40" i="4"/>
  <c r="D39" i="4"/>
  <c r="D38" i="4"/>
  <c r="D37" i="4"/>
  <c r="R30" i="4"/>
  <c r="D43" i="4"/>
  <c r="T30" i="4"/>
  <c r="P30" i="4"/>
  <c r="O30" i="4"/>
  <c r="N30" i="4"/>
  <c r="L30" i="4"/>
  <c r="K30" i="4"/>
  <c r="J30" i="4"/>
  <c r="I30" i="4"/>
  <c r="H30" i="4"/>
  <c r="G30" i="4"/>
  <c r="F30" i="4"/>
  <c r="E30" i="4"/>
  <c r="D30" i="4"/>
  <c r="T15" i="5" l="1"/>
  <c r="T60" i="5" s="1"/>
  <c r="T61" i="5" s="1"/>
  <c r="U10" i="5"/>
  <c r="U15" i="5" s="1"/>
  <c r="U63" i="5" s="1"/>
  <c r="V15" i="5" s="1"/>
  <c r="V60" i="5" s="1"/>
  <c r="V61" i="5" s="1"/>
  <c r="S61" i="5"/>
  <c r="W35" i="5"/>
  <c r="T59" i="3"/>
  <c r="T33" i="3"/>
  <c r="T35" i="3" s="1"/>
  <c r="S19" i="3"/>
  <c r="S18" i="3"/>
  <c r="S38" i="3"/>
  <c r="S37" i="3"/>
  <c r="S10" i="3" l="1"/>
  <c r="R59" i="3"/>
  <c r="R33" i="3"/>
  <c r="R35" i="3" s="1"/>
  <c r="R15" i="3"/>
  <c r="P59" i="3"/>
  <c r="P35" i="3"/>
  <c r="P61" i="3" s="1"/>
  <c r="P33" i="3"/>
  <c r="P15" i="3"/>
  <c r="P63" i="3" s="1"/>
  <c r="R60" i="3" l="1"/>
  <c r="R61" i="3" s="1"/>
  <c r="Q10" i="3" l="1"/>
  <c r="M63" i="3"/>
  <c r="M10" i="3"/>
  <c r="S59" i="3"/>
  <c r="Q59" i="3"/>
  <c r="O59" i="3"/>
  <c r="O63" i="3" s="1"/>
  <c r="N59" i="3"/>
  <c r="M59" i="3"/>
  <c r="L59" i="3"/>
  <c r="K59" i="3"/>
  <c r="I59" i="3"/>
  <c r="H59" i="3"/>
  <c r="G59" i="3"/>
  <c r="F59" i="3"/>
  <c r="E59" i="3"/>
  <c r="D59" i="3"/>
  <c r="J38" i="3"/>
  <c r="J59" i="3" s="1"/>
  <c r="F34" i="3"/>
  <c r="F35" i="3" s="1"/>
  <c r="S33" i="3"/>
  <c r="U33" i="3" s="1"/>
  <c r="Q33" i="3"/>
  <c r="Q35" i="3" s="1"/>
  <c r="O33" i="3"/>
  <c r="O35" i="3" s="1"/>
  <c r="O61" i="3" s="1"/>
  <c r="N33" i="3"/>
  <c r="N35" i="3" s="1"/>
  <c r="M33" i="3"/>
  <c r="M35" i="3" s="1"/>
  <c r="M61" i="3" s="1"/>
  <c r="L33" i="3"/>
  <c r="L35" i="3" s="1"/>
  <c r="L61" i="3" s="1"/>
  <c r="K33" i="3"/>
  <c r="K35" i="3" s="1"/>
  <c r="K61" i="3" s="1"/>
  <c r="I33" i="3"/>
  <c r="I35" i="3" s="1"/>
  <c r="H33" i="3"/>
  <c r="H35" i="3" s="1"/>
  <c r="H61" i="3" s="1"/>
  <c r="G33" i="3"/>
  <c r="G35" i="3" s="1"/>
  <c r="F33" i="3"/>
  <c r="E33" i="3"/>
  <c r="E35" i="3" s="1"/>
  <c r="E61" i="3" s="1"/>
  <c r="D33" i="3"/>
  <c r="D35" i="3" s="1"/>
  <c r="D61" i="3" s="1"/>
  <c r="J19" i="3"/>
  <c r="J33" i="3" s="1"/>
  <c r="J35" i="3" s="1"/>
  <c r="Q15" i="3"/>
  <c r="Q63" i="3" s="1"/>
  <c r="O15" i="3"/>
  <c r="N15" i="3"/>
  <c r="N60" i="3" s="1"/>
  <c r="M15" i="3"/>
  <c r="L15" i="3"/>
  <c r="L63" i="3" s="1"/>
  <c r="K15" i="3"/>
  <c r="K63" i="3" s="1"/>
  <c r="J15" i="3"/>
  <c r="H15" i="3"/>
  <c r="G15" i="3"/>
  <c r="F15" i="3"/>
  <c r="F60" i="3" s="1"/>
  <c r="E15" i="3"/>
  <c r="E63" i="3" s="1"/>
  <c r="I10" i="3" s="1"/>
  <c r="I15" i="3" s="1"/>
  <c r="D15" i="3"/>
  <c r="E63" i="1"/>
  <c r="Q61" i="3" l="1"/>
  <c r="S15" i="3"/>
  <c r="D63" i="3"/>
  <c r="H63" i="3"/>
  <c r="J61" i="3"/>
  <c r="G61" i="3"/>
  <c r="G63" i="3"/>
  <c r="I61" i="3"/>
  <c r="I63" i="3"/>
  <c r="N61" i="3"/>
  <c r="F61" i="3"/>
  <c r="S35" i="3"/>
  <c r="S63" i="3" s="1"/>
  <c r="T10" i="3" s="1"/>
  <c r="T15" i="3" s="1"/>
  <c r="T60" i="3" s="1"/>
  <c r="T61" i="3" s="1"/>
  <c r="U35" i="3" l="1"/>
  <c r="S61" i="3"/>
  <c r="D43" i="2" l="1"/>
  <c r="Q15" i="1"/>
  <c r="Q30" i="2" l="1"/>
  <c r="Q59" i="1"/>
  <c r="Q33" i="1"/>
  <c r="Q35" i="1" l="1"/>
  <c r="R35" i="1" s="1"/>
  <c r="R33" i="1"/>
  <c r="Q60" i="1"/>
  <c r="P30" i="2"/>
  <c r="O30" i="2"/>
  <c r="P59" i="1" l="1"/>
  <c r="O59" i="1"/>
  <c r="O35" i="1"/>
  <c r="O61" i="1" s="1"/>
  <c r="P33" i="1"/>
  <c r="P35" i="1" s="1"/>
  <c r="O33" i="1"/>
  <c r="O15" i="1"/>
  <c r="O63" i="1" s="1"/>
  <c r="P15" i="1"/>
  <c r="P61" i="1" l="1"/>
  <c r="P63" i="1"/>
  <c r="M59" i="1"/>
  <c r="L59" i="1"/>
  <c r="M33" i="1"/>
  <c r="M35" i="1" s="1"/>
  <c r="M15" i="1"/>
  <c r="M61" i="1" l="1"/>
  <c r="M63" i="1"/>
  <c r="N59" i="1"/>
  <c r="N33" i="1" l="1"/>
  <c r="N35" i="1" s="1"/>
  <c r="N30" i="2"/>
  <c r="N15" i="1"/>
  <c r="K59" i="1"/>
  <c r="N60" i="1" l="1"/>
  <c r="N61" i="1" s="1"/>
  <c r="L30" i="2"/>
  <c r="K30" i="2"/>
  <c r="L33" i="1" l="1"/>
  <c r="L35" i="1" s="1"/>
  <c r="L61" i="1" s="1"/>
  <c r="L15" i="1"/>
  <c r="L63" i="1" s="1"/>
  <c r="K33" i="1"/>
  <c r="K35" i="1" s="1"/>
  <c r="K61" i="1" s="1"/>
  <c r="K15" i="1"/>
  <c r="K63" i="1" s="1"/>
  <c r="I59" i="1" l="1"/>
  <c r="I33" i="1"/>
  <c r="I35" i="1" s="1"/>
  <c r="I61" i="1" s="1"/>
  <c r="I15" i="1"/>
  <c r="I30" i="2"/>
  <c r="I63" i="1" l="1"/>
  <c r="H30" i="2"/>
  <c r="G30" i="2"/>
  <c r="H59" i="1"/>
  <c r="H33" i="1"/>
  <c r="H35" i="1" s="1"/>
  <c r="H15" i="1"/>
  <c r="G59" i="1"/>
  <c r="G33" i="1"/>
  <c r="G35" i="1" s="1"/>
  <c r="G61" i="1" l="1"/>
  <c r="H61" i="1"/>
  <c r="H63" i="1"/>
  <c r="J38" i="1"/>
  <c r="J19" i="1"/>
  <c r="J59" i="1" l="1"/>
  <c r="J33" i="1"/>
  <c r="J35" i="1" s="1"/>
  <c r="J15" i="1"/>
  <c r="G15" i="1"/>
  <c r="G63" i="1" s="1"/>
  <c r="J30" i="2"/>
  <c r="J61" i="1" l="1"/>
  <c r="D30" i="2"/>
  <c r="E30" i="2"/>
  <c r="F30" i="2"/>
  <c r="E15" i="1" l="1"/>
  <c r="E59" i="1"/>
  <c r="E33" i="1"/>
  <c r="E35" i="1" s="1"/>
  <c r="E61" i="1" l="1"/>
  <c r="F34" i="1" l="1"/>
  <c r="F59" i="1" l="1"/>
  <c r="F33" i="1"/>
  <c r="F15" i="1"/>
  <c r="F35" i="1" l="1"/>
  <c r="F60" i="1" l="1"/>
  <c r="F61" i="1" s="1"/>
  <c r="D59" i="1"/>
  <c r="D33" i="1"/>
  <c r="D35" i="1" s="1"/>
  <c r="D61" i="1" l="1"/>
  <c r="D15" i="1" l="1"/>
  <c r="D63" i="1" s="1"/>
  <c r="Q61" i="1"/>
</calcChain>
</file>

<file path=xl/sharedStrings.xml><?xml version="1.0" encoding="utf-8"?>
<sst xmlns="http://schemas.openxmlformats.org/spreadsheetml/2006/main" count="851" uniqueCount="116">
  <si>
    <t>Budget</t>
  </si>
  <si>
    <t>Actual</t>
  </si>
  <si>
    <t xml:space="preserve"> </t>
  </si>
  <si>
    <t>Adopted</t>
  </si>
  <si>
    <t>Carryover from prior year</t>
  </si>
  <si>
    <t>Interest earnings</t>
  </si>
  <si>
    <t>City Tax Increment Revenue</t>
  </si>
  <si>
    <t>County Tax Increment Revenue</t>
  </si>
  <si>
    <t>Projects:</t>
  </si>
  <si>
    <t>Revenues</t>
  </si>
  <si>
    <t>Expenditures</t>
  </si>
  <si>
    <t>Administrative Expenditures:</t>
  </si>
  <si>
    <t xml:space="preserve">     Contractual services</t>
  </si>
  <si>
    <t xml:space="preserve">     Insurance</t>
  </si>
  <si>
    <t xml:space="preserve">     Audits and studies</t>
  </si>
  <si>
    <t xml:space="preserve">     Printing and publishing</t>
  </si>
  <si>
    <t xml:space="preserve">     Marketing</t>
  </si>
  <si>
    <t>Operating Expenditures:</t>
  </si>
  <si>
    <t xml:space="preserve">     Legal services/court costs</t>
  </si>
  <si>
    <t xml:space="preserve">     Advertising and notices</t>
  </si>
  <si>
    <t xml:space="preserve">     Rent/lease costs</t>
  </si>
  <si>
    <t xml:space="preserve">     Office equipment and furniture</t>
  </si>
  <si>
    <t xml:space="preserve">     Infrastructure improvements</t>
  </si>
  <si>
    <t xml:space="preserve">     Building construction &amp; improves</t>
  </si>
  <si>
    <t xml:space="preserve">     Debt service payments</t>
  </si>
  <si>
    <t>Revenue Total</t>
  </si>
  <si>
    <t>All other revenues (name)</t>
  </si>
  <si>
    <t>Cash Position (Rev-Exp)</t>
  </si>
  <si>
    <t>(C) Subtotal Oper. Expenses</t>
  </si>
  <si>
    <t>(D) Reserve/Contingency</t>
  </si>
  <si>
    <t>(A) Subtotal Admin Expenses, %</t>
  </si>
  <si>
    <t>(B) Subtot Adm Exp &amp; County Charge</t>
  </si>
  <si>
    <t xml:space="preserve">     County Administrative Charge at 1.5%</t>
  </si>
  <si>
    <t xml:space="preserve">     Membership/Dues</t>
  </si>
  <si>
    <t xml:space="preserve">     General Operating</t>
  </si>
  <si>
    <t>Expenditure Total (B+C+D)</t>
  </si>
  <si>
    <t xml:space="preserve">     Travel and Training</t>
  </si>
  <si>
    <t xml:space="preserve">     Equipment other than office</t>
  </si>
  <si>
    <t xml:space="preserve">     Assistance to Non-profits</t>
  </si>
  <si>
    <t xml:space="preserve">     Land/building acquisitions &amp; Demo/Relo</t>
  </si>
  <si>
    <t xml:space="preserve">     Housing Assistance Projects</t>
  </si>
  <si>
    <t>Industrial / Commercial Façade Program</t>
  </si>
  <si>
    <t>City of Florida City</t>
  </si>
  <si>
    <t>Community Redevelopment Agency</t>
  </si>
  <si>
    <t>Pioneer Museum Improvements</t>
  </si>
  <si>
    <t xml:space="preserve">     Redevelopment loans / grants issued out</t>
  </si>
  <si>
    <t>Loans/Grants to Businesses</t>
  </si>
  <si>
    <t xml:space="preserve">     Bad Debt Expense</t>
  </si>
  <si>
    <t xml:space="preserve">     Property Maintenance</t>
  </si>
  <si>
    <t>1</t>
  </si>
  <si>
    <t>2</t>
  </si>
  <si>
    <t>3</t>
  </si>
  <si>
    <t>1=</t>
  </si>
  <si>
    <t>2=</t>
  </si>
  <si>
    <t>3=</t>
  </si>
  <si>
    <t>4=</t>
  </si>
  <si>
    <t>Commercial Building Improvement Grant Program</t>
  </si>
  <si>
    <t>Acquire Property in CR Area</t>
  </si>
  <si>
    <t xml:space="preserve">     Employee salary (Administrative)</t>
  </si>
  <si>
    <t xml:space="preserve">     Employee salary (Operating)</t>
  </si>
  <si>
    <t xml:space="preserve">     Employee Fringes (Administrative)</t>
  </si>
  <si>
    <t xml:space="preserve">     Employee Fringes (operating)</t>
  </si>
  <si>
    <t>WNW Streetscape Phase 3</t>
  </si>
  <si>
    <t>Lucy Street Shops Infrastructure Relocation</t>
  </si>
  <si>
    <t>SW 1st Street Streetscape</t>
  </si>
  <si>
    <t xml:space="preserve">     Indirect Cost Allocation</t>
  </si>
  <si>
    <t xml:space="preserve">     Auto Expenses </t>
  </si>
  <si>
    <t>Total Project Cost</t>
  </si>
  <si>
    <t>Accounts Receivable</t>
  </si>
  <si>
    <t>Total</t>
  </si>
  <si>
    <t xml:space="preserve">     Redevelopment façade / CBIG grants</t>
  </si>
  <si>
    <t>FY 14-15</t>
  </si>
  <si>
    <t>Krome Ave / Palm Dr Development &amp; Improvements</t>
  </si>
  <si>
    <t>Amend 1</t>
  </si>
  <si>
    <t>FY 15-16</t>
  </si>
  <si>
    <t>FY 16-17</t>
  </si>
  <si>
    <t>NW 1st St and NW 2nd St Streetscapes</t>
  </si>
  <si>
    <t>Depot Building - Tent, Repair, and Paint</t>
  </si>
  <si>
    <t>FY 2017-18</t>
  </si>
  <si>
    <t>FY 17-18</t>
  </si>
  <si>
    <t>Davis Pkwy-NW8th Ave Round-a-bout</t>
  </si>
  <si>
    <t xml:space="preserve">     Other Admin. Exps</t>
  </si>
  <si>
    <t>NW 7th St / VFW Bldg Parking Lot</t>
  </si>
  <si>
    <t>5=</t>
  </si>
  <si>
    <t>Housing Rehab Project - Rebuilding Together</t>
  </si>
  <si>
    <t>Projected</t>
  </si>
  <si>
    <t>Exhibit A</t>
  </si>
  <si>
    <t>FY 2018-19 Proposed Budget</t>
  </si>
  <si>
    <t xml:space="preserve"> (FY 2018-19 begins October 1, 2018)</t>
  </si>
  <si>
    <t>FY 2018-19</t>
  </si>
  <si>
    <t>NW 8th &amp; 9th Ave Drainage/Streetscape Project</t>
  </si>
  <si>
    <t>NW 5th Ave &amp; 5th Ct Streetscape Project</t>
  </si>
  <si>
    <t>Acquire Lucy Street Parcels by Eminent Domain</t>
  </si>
  <si>
    <t>Lucy Street Parking Lot and Apartment Demolition</t>
  </si>
  <si>
    <t>Demo Houses in CR Area and Relo Tenants</t>
  </si>
  <si>
    <t>Gain on Sale of Property</t>
  </si>
  <si>
    <t>Proposed</t>
  </si>
  <si>
    <t>FY 2019-20 - Proposed</t>
  </si>
  <si>
    <t>Washington Park Rehabilitation</t>
  </si>
  <si>
    <t>Policing Cameras in Commercial District</t>
  </si>
  <si>
    <t>6=</t>
  </si>
  <si>
    <t>FY 2019-20</t>
  </si>
  <si>
    <t xml:space="preserve">     Transfer out to others (Community Policing)</t>
  </si>
  <si>
    <t xml:space="preserve">     Policing Cameras in Commercial District</t>
  </si>
  <si>
    <t xml:space="preserve">     Acquisition of Tax Certificates</t>
  </si>
  <si>
    <t xml:space="preserve">     Other Oper. Expenses</t>
  </si>
  <si>
    <t>FY 2020-21</t>
  </si>
  <si>
    <t>FY 2020-21 - Proposed</t>
  </si>
  <si>
    <t>FY 2021-22</t>
  </si>
  <si>
    <t>FY 2022-23</t>
  </si>
  <si>
    <t xml:space="preserve">Approx 7% of total TIF </t>
  </si>
  <si>
    <t xml:space="preserve">Approx 1.5% of County TIF </t>
  </si>
  <si>
    <t>FY 2023-24</t>
  </si>
  <si>
    <t xml:space="preserve">     County Reimbursement Charges</t>
  </si>
  <si>
    <t>Washington Park ($800k); Streetscape ($5,910,000); Infrastructure Improvements ($950k)</t>
  </si>
  <si>
    <t>50% of County TIF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</si>
</sst>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/>
    <xf numFmtId="0" fontId="2" fillId="0" borderId="0" xfId="0" applyFont="1"/>
    <xf numFmtId="0" fontId="3" fillId="2" borderId="0" xfId="0" applyFont="1" applyFill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Border="1"/>
    <xf numFmtId="164" fontId="3" fillId="0" borderId="0" xfId="0" applyNumberFormat="1" applyFont="1"/>
    <xf numFmtId="3" fontId="3" fillId="0" borderId="0" xfId="0" applyNumberFormat="1" applyFont="1" applyFill="1"/>
    <xf numFmtId="14" fontId="3" fillId="0" borderId="0" xfId="0" applyNumberFormat="1" applyFont="1"/>
    <xf numFmtId="0" fontId="3" fillId="0" borderId="0" xfId="2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Fill="1"/>
    <xf numFmtId="1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/>
    <xf numFmtId="3" fontId="7" fillId="0" borderId="1" xfId="0" quotePrefix="1" applyNumberFormat="1" applyFont="1" applyBorder="1" applyAlignment="1">
      <alignment horizontal="right"/>
    </xf>
    <xf numFmtId="0" fontId="7" fillId="0" borderId="1" xfId="0" quotePrefix="1" applyFont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right"/>
    </xf>
    <xf numFmtId="0" fontId="7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7" fillId="0" borderId="0" xfId="0" applyNumberFormat="1" applyFont="1"/>
    <xf numFmtId="3" fontId="6" fillId="0" borderId="0" xfId="0" applyNumberFormat="1" applyFont="1" applyFill="1"/>
    <xf numFmtId="164" fontId="6" fillId="0" borderId="0" xfId="0" applyNumberFormat="1" applyFont="1"/>
    <xf numFmtId="0" fontId="6" fillId="0" borderId="0" xfId="0" quotePrefix="1" applyFont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3" fontId="7" fillId="0" borderId="1" xfId="0" applyNumberFormat="1" applyFont="1" applyBorder="1" applyAlignment="1"/>
    <xf numFmtId="3" fontId="7" fillId="0" borderId="9" xfId="0" applyNumberFormat="1" applyFont="1" applyBorder="1" applyAlignment="1"/>
    <xf numFmtId="3" fontId="7" fillId="0" borderId="1" xfId="0" applyNumberFormat="1" applyFont="1" applyFill="1" applyBorder="1" applyAlignment="1"/>
    <xf numFmtId="0" fontId="8" fillId="0" borderId="0" xfId="0" applyFont="1" applyFill="1"/>
    <xf numFmtId="0" fontId="7" fillId="0" borderId="0" xfId="0" applyFont="1" applyFill="1"/>
    <xf numFmtId="3" fontId="6" fillId="0" borderId="1" xfId="1" applyNumberFormat="1" applyFont="1" applyFill="1" applyBorder="1" applyAlignment="1"/>
    <xf numFmtId="3" fontId="6" fillId="0" borderId="8" xfId="1" applyNumberFormat="1" applyFont="1" applyFill="1" applyBorder="1" applyAlignment="1"/>
    <xf numFmtId="3" fontId="6" fillId="0" borderId="1" xfId="0" applyNumberFormat="1" applyFont="1" applyBorder="1"/>
    <xf numFmtId="0" fontId="8" fillId="3" borderId="0" xfId="0" applyFont="1" applyFill="1"/>
    <xf numFmtId="0" fontId="7" fillId="3" borderId="0" xfId="0" applyFont="1" applyFill="1"/>
    <xf numFmtId="3" fontId="7" fillId="3" borderId="8" xfId="0" applyNumberFormat="1" applyFont="1" applyFill="1" applyBorder="1" applyAlignment="1"/>
    <xf numFmtId="3" fontId="7" fillId="3" borderId="10" xfId="0" applyNumberFormat="1" applyFont="1" applyFill="1" applyBorder="1" applyAlignment="1"/>
    <xf numFmtId="3" fontId="7" fillId="2" borderId="8" xfId="0" applyNumberFormat="1" applyFont="1" applyFill="1" applyBorder="1"/>
    <xf numFmtId="0" fontId="6" fillId="3" borderId="0" xfId="0" applyFont="1" applyFill="1"/>
    <xf numFmtId="3" fontId="7" fillId="3" borderId="9" xfId="0" applyNumberFormat="1" applyFont="1" applyFill="1" applyBorder="1" applyAlignment="1"/>
    <xf numFmtId="3" fontId="7" fillId="3" borderId="13" xfId="0" applyNumberFormat="1" applyFont="1" applyFill="1" applyBorder="1" applyAlignment="1"/>
    <xf numFmtId="3" fontId="7" fillId="2" borderId="9" xfId="0" applyNumberFormat="1" applyFont="1" applyFill="1" applyBorder="1"/>
    <xf numFmtId="3" fontId="7" fillId="0" borderId="2" xfId="0" applyNumberFormat="1" applyFont="1" applyFill="1" applyBorder="1" applyAlignment="1"/>
    <xf numFmtId="3" fontId="7" fillId="0" borderId="9" xfId="0" applyNumberFormat="1" applyFont="1" applyFill="1" applyBorder="1" applyAlignment="1"/>
    <xf numFmtId="0" fontId="7" fillId="0" borderId="2" xfId="0" applyFont="1" applyBorder="1"/>
    <xf numFmtId="3" fontId="7" fillId="0" borderId="2" xfId="1" applyNumberFormat="1" applyFont="1" applyFill="1" applyBorder="1" applyAlignment="1"/>
    <xf numFmtId="3" fontId="7" fillId="0" borderId="1" xfId="1" applyNumberFormat="1" applyFont="1" applyFill="1" applyBorder="1" applyAlignment="1"/>
    <xf numFmtId="3" fontId="6" fillId="0" borderId="2" xfId="1" applyNumberFormat="1" applyFont="1" applyBorder="1" applyAlignment="1"/>
    <xf numFmtId="3" fontId="6" fillId="0" borderId="1" xfId="1" applyNumberFormat="1" applyFont="1" applyBorder="1" applyAlignment="1"/>
    <xf numFmtId="3" fontId="6" fillId="0" borderId="1" xfId="0" applyNumberFormat="1" applyFont="1" applyBorder="1" applyAlignment="1"/>
    <xf numFmtId="10" fontId="8" fillId="0" borderId="0" xfId="0" applyNumberFormat="1" applyFont="1" applyAlignment="1">
      <alignment horizontal="center"/>
    </xf>
    <xf numFmtId="3" fontId="7" fillId="0" borderId="2" xfId="1" applyNumberFormat="1" applyFont="1" applyBorder="1" applyAlignment="1"/>
    <xf numFmtId="3" fontId="7" fillId="0" borderId="1" xfId="1" applyNumberFormat="1" applyFont="1" applyBorder="1" applyAlignment="1"/>
    <xf numFmtId="0" fontId="6" fillId="2" borderId="0" xfId="0" applyFont="1" applyFill="1"/>
    <xf numFmtId="0" fontId="7" fillId="2" borderId="2" xfId="0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/>
    <xf numFmtId="3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2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2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4" fontId="6" fillId="4" borderId="8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3" fontId="7" fillId="4" borderId="1" xfId="0" applyNumberFormat="1" applyFont="1" applyFill="1" applyBorder="1"/>
    <xf numFmtId="3" fontId="6" fillId="4" borderId="1" xfId="0" applyNumberFormat="1" applyFont="1" applyFill="1" applyBorder="1"/>
    <xf numFmtId="3" fontId="7" fillId="4" borderId="8" xfId="0" applyNumberFormat="1" applyFont="1" applyFill="1" applyBorder="1"/>
    <xf numFmtId="3" fontId="7" fillId="4" borderId="9" xfId="0" applyNumberFormat="1" applyFont="1" applyFill="1" applyBorder="1"/>
    <xf numFmtId="3" fontId="9" fillId="4" borderId="1" xfId="0" applyNumberFormat="1" applyFont="1" applyFill="1" applyBorder="1"/>
    <xf numFmtId="3" fontId="9" fillId="4" borderId="1" xfId="1" applyNumberFormat="1" applyFont="1" applyFill="1" applyBorder="1" applyAlignment="1">
      <alignment horizontal="right"/>
    </xf>
    <xf numFmtId="4" fontId="10" fillId="4" borderId="9" xfId="0" applyNumberFormat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5" borderId="1" xfId="0" applyFont="1" applyFill="1" applyBorder="1"/>
    <xf numFmtId="3" fontId="6" fillId="5" borderId="1" xfId="1" applyNumberFormat="1" applyFont="1" applyFill="1" applyBorder="1" applyAlignment="1"/>
    <xf numFmtId="3" fontId="7" fillId="5" borderId="1" xfId="0" applyNumberFormat="1" applyFont="1" applyFill="1" applyBorder="1" applyAlignment="1"/>
    <xf numFmtId="3" fontId="7" fillId="5" borderId="1" xfId="0" applyNumberFormat="1" applyFont="1" applyFill="1" applyBorder="1"/>
    <xf numFmtId="3" fontId="6" fillId="5" borderId="1" xfId="0" applyNumberFormat="1" applyFont="1" applyFill="1" applyBorder="1"/>
    <xf numFmtId="3" fontId="7" fillId="4" borderId="1" xfId="0" applyNumberFormat="1" applyFont="1" applyFill="1" applyBorder="1" applyAlignment="1"/>
    <xf numFmtId="3" fontId="6" fillId="4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1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120650</xdr:colOff>
      <xdr:row>9</xdr:row>
      <xdr:rowOff>88900</xdr:rowOff>
    </xdr:from>
    <xdr:to>
      <xdr:col>16</xdr:col>
      <xdr:colOff>273050</xdr:colOff>
      <xdr:row>62</xdr:row>
      <xdr:rowOff>88900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A257040C-F22C-48AC-95DB-7542ABCDED05}"/>
            </a:ext>
          </a:extLst>
        </xdr:cNvPr>
        <xdr:cNvCxnSpPr/>
      </xdr:nvCxnSpPr>
      <xdr:spPr>
        <a:xfrm flipV="1">
          <a:off x="11855450" y="1790700"/>
          <a:ext cx="1270000" cy="10096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454025</xdr:colOff>
      <xdr:row>9</xdr:row>
      <xdr:rowOff>98425</xdr:rowOff>
    </xdr:from>
    <xdr:to>
      <xdr:col>17</xdr:col>
      <xdr:colOff>539750</xdr:colOff>
      <xdr:row>62</xdr:row>
      <xdr:rowOff>98425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A257040C-F22C-48AC-95DB-7542ABCDED05}"/>
            </a:ext>
          </a:extLst>
        </xdr:cNvPr>
        <xdr:cNvCxnSpPr/>
      </xdr:nvCxnSpPr>
      <xdr:spPr>
        <a:xfrm flipV="1">
          <a:off x="11598275" y="1870075"/>
          <a:ext cx="2200275" cy="10296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opLeftCell="K34" zoomScaleNormal="100" zoomScaleSheetLayoutView="75" zoomScalePageLayoutView="75" workbookViewId="0">
      <selection activeCell="Q1" sqref="Q1:Q1048576"/>
    </sheetView>
  </sheetViews>
  <sheetFormatPr defaultRowHeight="12.75" x14ac:dyDescent="0.2"/>
  <cols>
    <col min="1" max="1" width="19.5703125" customWidth="1"/>
    <col min="2" max="2" width="13.5703125" customWidth="1"/>
    <col min="3" max="3" width="12.7109375" customWidth="1"/>
    <col min="4" max="5" width="11.85546875" customWidth="1"/>
    <col min="6" max="8" width="11.85546875" hidden="1" customWidth="1"/>
    <col min="9" max="10" width="11.85546875" customWidth="1"/>
    <col min="11" max="11" width="13.85546875" customWidth="1"/>
    <col min="12" max="13" width="14.140625" customWidth="1"/>
    <col min="14" max="16" width="15.85546875" customWidth="1"/>
    <col min="17" max="17" width="14.85546875" customWidth="1"/>
  </cols>
  <sheetData>
    <row r="1" spans="1:18" ht="18" x14ac:dyDescent="0.25">
      <c r="A1" s="25" t="s">
        <v>86</v>
      </c>
      <c r="B1" s="21"/>
      <c r="C1" s="2"/>
      <c r="E1" s="2"/>
      <c r="F1" s="2"/>
      <c r="G1" s="2"/>
      <c r="H1" s="22" t="s">
        <v>42</v>
      </c>
      <c r="I1" s="2"/>
      <c r="J1" s="2"/>
      <c r="K1" s="2"/>
    </row>
    <row r="2" spans="1:18" ht="15" x14ac:dyDescent="0.25">
      <c r="A2" s="21"/>
      <c r="B2" s="21"/>
      <c r="C2" s="2"/>
      <c r="E2" s="2"/>
      <c r="F2" s="2"/>
      <c r="G2" s="2"/>
      <c r="H2" s="22" t="s">
        <v>43</v>
      </c>
      <c r="I2" s="2"/>
      <c r="J2" s="2"/>
      <c r="K2" s="2"/>
    </row>
    <row r="3" spans="1:18" ht="15" x14ac:dyDescent="0.25">
      <c r="A3" s="14"/>
      <c r="B3" s="14"/>
      <c r="C3" s="2"/>
      <c r="E3" s="2"/>
      <c r="F3" s="2"/>
      <c r="G3" s="2"/>
      <c r="H3" s="22" t="s">
        <v>87</v>
      </c>
      <c r="I3" s="2"/>
      <c r="J3" s="2"/>
      <c r="K3" s="2"/>
    </row>
    <row r="4" spans="1:18" ht="14.25" x14ac:dyDescent="0.2">
      <c r="A4" s="2"/>
      <c r="B4" s="2"/>
      <c r="C4" s="2"/>
      <c r="E4" s="2"/>
      <c r="F4" s="2"/>
      <c r="G4" s="2"/>
      <c r="H4" s="23" t="s">
        <v>88</v>
      </c>
      <c r="I4" s="2"/>
      <c r="J4" s="2"/>
      <c r="K4" s="2"/>
    </row>
    <row r="5" spans="1:18" ht="15.75" x14ac:dyDescent="0.25">
      <c r="A5" s="54"/>
      <c r="B5" s="54"/>
      <c r="C5" s="55"/>
      <c r="D5" s="44" t="s">
        <v>71</v>
      </c>
      <c r="E5" s="44" t="s">
        <v>74</v>
      </c>
      <c r="F5" s="44" t="s">
        <v>75</v>
      </c>
      <c r="G5" s="44" t="s">
        <v>75</v>
      </c>
      <c r="H5" s="44" t="s">
        <v>75</v>
      </c>
      <c r="I5" s="44" t="s">
        <v>75</v>
      </c>
      <c r="J5" s="44" t="s">
        <v>78</v>
      </c>
      <c r="K5" s="56" t="s">
        <v>78</v>
      </c>
      <c r="L5" s="44" t="s">
        <v>78</v>
      </c>
      <c r="M5" s="44" t="s">
        <v>78</v>
      </c>
      <c r="N5" s="44" t="s">
        <v>89</v>
      </c>
      <c r="O5" s="44" t="s">
        <v>89</v>
      </c>
      <c r="P5" s="104" t="s">
        <v>89</v>
      </c>
      <c r="Q5" s="44" t="s">
        <v>101</v>
      </c>
      <c r="R5" s="37"/>
    </row>
    <row r="6" spans="1:18" ht="15.75" x14ac:dyDescent="0.25">
      <c r="A6" s="54"/>
      <c r="B6" s="54"/>
      <c r="C6" s="55"/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57" t="s">
        <v>0</v>
      </c>
      <c r="L6" s="48" t="s">
        <v>0</v>
      </c>
      <c r="M6" s="48" t="s">
        <v>0</v>
      </c>
      <c r="N6" s="48" t="s">
        <v>0</v>
      </c>
      <c r="O6" s="48" t="s">
        <v>0</v>
      </c>
      <c r="P6" s="105" t="s">
        <v>0</v>
      </c>
      <c r="Q6" s="48" t="s">
        <v>0</v>
      </c>
      <c r="R6" s="37"/>
    </row>
    <row r="7" spans="1:18" ht="15.75" x14ac:dyDescent="0.25">
      <c r="A7" s="54" t="s">
        <v>9</v>
      </c>
      <c r="B7" s="54"/>
      <c r="C7" s="55"/>
      <c r="D7" s="51" t="s">
        <v>1</v>
      </c>
      <c r="E7" s="51" t="s">
        <v>1</v>
      </c>
      <c r="F7" s="51" t="s">
        <v>3</v>
      </c>
      <c r="G7" s="51" t="s">
        <v>73</v>
      </c>
      <c r="H7" s="51" t="s">
        <v>85</v>
      </c>
      <c r="I7" s="51" t="s">
        <v>1</v>
      </c>
      <c r="J7" s="51" t="s">
        <v>3</v>
      </c>
      <c r="K7" s="58" t="s">
        <v>73</v>
      </c>
      <c r="L7" s="51" t="s">
        <v>85</v>
      </c>
      <c r="M7" s="51" t="s">
        <v>1</v>
      </c>
      <c r="N7" s="51" t="s">
        <v>3</v>
      </c>
      <c r="O7" s="51" t="s">
        <v>73</v>
      </c>
      <c r="P7" s="112" t="s">
        <v>85</v>
      </c>
      <c r="Q7" s="51" t="s">
        <v>96</v>
      </c>
      <c r="R7" s="37"/>
    </row>
    <row r="8" spans="1:18" ht="15" x14ac:dyDescent="0.2">
      <c r="A8" s="37" t="s">
        <v>6</v>
      </c>
      <c r="B8" s="37"/>
      <c r="C8" s="37"/>
      <c r="D8" s="59">
        <v>969326</v>
      </c>
      <c r="E8" s="60">
        <v>1012003</v>
      </c>
      <c r="F8" s="59">
        <v>1142072</v>
      </c>
      <c r="G8" s="59">
        <v>1142072</v>
      </c>
      <c r="H8" s="59">
        <v>1142072</v>
      </c>
      <c r="I8" s="60">
        <v>1142072</v>
      </c>
      <c r="J8" s="60">
        <v>1108901</v>
      </c>
      <c r="K8" s="28">
        <v>1108901</v>
      </c>
      <c r="L8" s="28">
        <v>1108901</v>
      </c>
      <c r="M8" s="28">
        <v>1108901</v>
      </c>
      <c r="N8" s="28">
        <v>1222832</v>
      </c>
      <c r="O8" s="28">
        <v>1222832</v>
      </c>
      <c r="P8" s="106">
        <v>1222832</v>
      </c>
      <c r="Q8" s="28">
        <v>1325116</v>
      </c>
      <c r="R8" s="37"/>
    </row>
    <row r="9" spans="1:18" ht="15" x14ac:dyDescent="0.2">
      <c r="A9" s="37" t="s">
        <v>7</v>
      </c>
      <c r="B9" s="37"/>
      <c r="C9" s="37"/>
      <c r="D9" s="59">
        <v>596022</v>
      </c>
      <c r="E9" s="59">
        <v>662824</v>
      </c>
      <c r="F9" s="59">
        <v>741746</v>
      </c>
      <c r="G9" s="59">
        <v>741746</v>
      </c>
      <c r="H9" s="59">
        <v>741746</v>
      </c>
      <c r="I9" s="59">
        <v>741746</v>
      </c>
      <c r="J9" s="59">
        <v>720188</v>
      </c>
      <c r="K9" s="28">
        <v>720188</v>
      </c>
      <c r="L9" s="28">
        <v>720188</v>
      </c>
      <c r="M9" s="28">
        <v>720188</v>
      </c>
      <c r="N9" s="28">
        <v>794181</v>
      </c>
      <c r="O9" s="28">
        <v>794181</v>
      </c>
      <c r="P9" s="106">
        <v>794181</v>
      </c>
      <c r="Q9" s="28">
        <v>860612</v>
      </c>
      <c r="R9" s="37"/>
    </row>
    <row r="10" spans="1:18" ht="15.75" x14ac:dyDescent="0.25">
      <c r="A10" s="37" t="s">
        <v>4</v>
      </c>
      <c r="B10" s="37"/>
      <c r="C10" s="37"/>
      <c r="D10" s="59">
        <v>1450823</v>
      </c>
      <c r="E10" s="59">
        <v>1319621</v>
      </c>
      <c r="F10" s="59">
        <v>673468</v>
      </c>
      <c r="G10" s="59">
        <v>1603642</v>
      </c>
      <c r="H10" s="59">
        <v>1603642</v>
      </c>
      <c r="I10" s="59">
        <v>2369998</v>
      </c>
      <c r="J10" s="59">
        <v>2029327</v>
      </c>
      <c r="K10" s="28">
        <v>3124878</v>
      </c>
      <c r="L10" s="28">
        <v>3124878</v>
      </c>
      <c r="M10" s="28">
        <v>3124878</v>
      </c>
      <c r="N10" s="28">
        <v>3404483</v>
      </c>
      <c r="O10" s="28">
        <v>3618395</v>
      </c>
      <c r="P10" s="106">
        <v>3618395</v>
      </c>
      <c r="Q10" s="110">
        <v>3642925</v>
      </c>
      <c r="R10" s="37"/>
    </row>
    <row r="11" spans="1:18" ht="15" x14ac:dyDescent="0.2">
      <c r="A11" s="37" t="s">
        <v>26</v>
      </c>
      <c r="B11" s="37"/>
      <c r="C11" s="37"/>
      <c r="D11" s="61"/>
      <c r="E11" s="61">
        <v>24878</v>
      </c>
      <c r="F11" s="61"/>
      <c r="G11" s="61">
        <v>164000</v>
      </c>
      <c r="H11" s="61">
        <v>164000</v>
      </c>
      <c r="I11" s="61">
        <v>6160</v>
      </c>
      <c r="J11" s="61">
        <v>100000</v>
      </c>
      <c r="K11" s="28">
        <v>210000</v>
      </c>
      <c r="L11" s="28">
        <v>210000</v>
      </c>
      <c r="M11" s="28">
        <v>3421</v>
      </c>
      <c r="N11" s="28">
        <v>400000</v>
      </c>
      <c r="O11" s="28">
        <v>10000</v>
      </c>
      <c r="P11" s="106">
        <v>10000</v>
      </c>
      <c r="Q11" s="28">
        <v>153000</v>
      </c>
      <c r="R11" s="37"/>
    </row>
    <row r="12" spans="1:18" ht="15" x14ac:dyDescent="0.2">
      <c r="A12" s="37" t="s">
        <v>95</v>
      </c>
      <c r="B12" s="37"/>
      <c r="C12" s="37"/>
      <c r="D12" s="61"/>
      <c r="E12" s="61"/>
      <c r="F12" s="61"/>
      <c r="G12" s="61"/>
      <c r="H12" s="61"/>
      <c r="I12" s="61"/>
      <c r="J12" s="61"/>
      <c r="K12" s="28"/>
      <c r="L12" s="28"/>
      <c r="M12" s="28">
        <v>161370</v>
      </c>
      <c r="N12" s="28"/>
      <c r="O12" s="28">
        <v>250000</v>
      </c>
      <c r="P12" s="106">
        <v>250000</v>
      </c>
      <c r="Q12" s="28">
        <v>2512000</v>
      </c>
      <c r="R12" s="37"/>
    </row>
    <row r="13" spans="1:18" ht="15" x14ac:dyDescent="0.2">
      <c r="A13" s="37" t="s">
        <v>68</v>
      </c>
      <c r="B13" s="37"/>
      <c r="C13" s="37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106"/>
      <c r="Q13" s="28"/>
      <c r="R13" s="37"/>
    </row>
    <row r="14" spans="1:18" ht="15" x14ac:dyDescent="0.2">
      <c r="A14" s="37" t="s">
        <v>5</v>
      </c>
      <c r="B14" s="37"/>
      <c r="C14" s="37"/>
      <c r="D14" s="61">
        <v>10074</v>
      </c>
      <c r="E14" s="61">
        <v>1260</v>
      </c>
      <c r="F14" s="61">
        <v>5000</v>
      </c>
      <c r="G14" s="61">
        <v>9000</v>
      </c>
      <c r="H14" s="61">
        <v>9000</v>
      </c>
      <c r="I14" s="61">
        <v>11600</v>
      </c>
      <c r="J14" s="61">
        <v>8000</v>
      </c>
      <c r="K14" s="28">
        <v>15000</v>
      </c>
      <c r="L14" s="28">
        <v>15000</v>
      </c>
      <c r="M14" s="28">
        <v>15340</v>
      </c>
      <c r="N14" s="28">
        <v>20000</v>
      </c>
      <c r="O14" s="28">
        <v>18000</v>
      </c>
      <c r="P14" s="106">
        <v>18000</v>
      </c>
      <c r="Q14" s="28">
        <v>18000</v>
      </c>
      <c r="R14" s="37"/>
    </row>
    <row r="15" spans="1:18" ht="15.75" x14ac:dyDescent="0.25">
      <c r="A15" s="62" t="s">
        <v>25</v>
      </c>
      <c r="B15" s="62"/>
      <c r="C15" s="63"/>
      <c r="D15" s="64">
        <f t="shared" ref="D15:F15" si="0">SUM(D8:D14)</f>
        <v>3026245</v>
      </c>
      <c r="E15" s="64">
        <f t="shared" ref="E15" si="1">SUM(E8:E14)</f>
        <v>3020586</v>
      </c>
      <c r="F15" s="64">
        <f t="shared" si="0"/>
        <v>2562286</v>
      </c>
      <c r="G15" s="65">
        <f t="shared" ref="G15:N15" si="2">SUM(G8:G14)</f>
        <v>3660460</v>
      </c>
      <c r="H15" s="65">
        <f t="shared" si="2"/>
        <v>3660460</v>
      </c>
      <c r="I15" s="64">
        <f t="shared" si="2"/>
        <v>4271576</v>
      </c>
      <c r="J15" s="64">
        <f t="shared" si="2"/>
        <v>3966416</v>
      </c>
      <c r="K15" s="66">
        <f t="shared" si="2"/>
        <v>5178967</v>
      </c>
      <c r="L15" s="66">
        <f t="shared" si="2"/>
        <v>5178967</v>
      </c>
      <c r="M15" s="66">
        <f>SUM(M8:M14)</f>
        <v>5134098</v>
      </c>
      <c r="N15" s="66">
        <f t="shared" si="2"/>
        <v>5841496</v>
      </c>
      <c r="O15" s="66">
        <f>SUM(O8:O14)</f>
        <v>5913408</v>
      </c>
      <c r="P15" s="107">
        <f>SUM(P8:P14)</f>
        <v>5913408</v>
      </c>
      <c r="Q15" s="66">
        <f>SUM(Q8:Q14)</f>
        <v>8511653</v>
      </c>
      <c r="R15" s="37"/>
    </row>
    <row r="16" spans="1:18" ht="15.75" x14ac:dyDescent="0.25">
      <c r="A16" s="67" t="s">
        <v>10</v>
      </c>
      <c r="B16" s="67"/>
      <c r="C16" s="68"/>
      <c r="D16" s="69"/>
      <c r="E16" s="69"/>
      <c r="F16" s="70"/>
      <c r="G16" s="69"/>
      <c r="H16" s="69"/>
      <c r="I16" s="69"/>
      <c r="J16" s="69"/>
      <c r="K16" s="71"/>
      <c r="L16" s="71"/>
      <c r="M16" s="71"/>
      <c r="N16" s="71"/>
      <c r="O16" s="71"/>
      <c r="P16" s="108"/>
      <c r="Q16" s="71"/>
      <c r="R16" s="37"/>
    </row>
    <row r="17" spans="1:18" ht="15.75" x14ac:dyDescent="0.25">
      <c r="A17" s="72" t="s">
        <v>11</v>
      </c>
      <c r="B17" s="67"/>
      <c r="C17" s="68"/>
      <c r="D17" s="73"/>
      <c r="E17" s="73"/>
      <c r="F17" s="74"/>
      <c r="G17" s="73"/>
      <c r="H17" s="73"/>
      <c r="I17" s="73"/>
      <c r="J17" s="73"/>
      <c r="K17" s="75"/>
      <c r="L17" s="75"/>
      <c r="M17" s="75"/>
      <c r="N17" s="75"/>
      <c r="O17" s="75"/>
      <c r="P17" s="109"/>
      <c r="Q17" s="75"/>
      <c r="R17" s="37"/>
    </row>
    <row r="18" spans="1:18" ht="15" x14ac:dyDescent="0.2">
      <c r="A18" s="37" t="s">
        <v>58</v>
      </c>
      <c r="B18" s="37"/>
      <c r="C18" s="37"/>
      <c r="D18" s="76">
        <v>77657</v>
      </c>
      <c r="E18" s="61">
        <v>76475</v>
      </c>
      <c r="F18" s="61">
        <v>83161</v>
      </c>
      <c r="G18" s="77">
        <v>83969</v>
      </c>
      <c r="H18" s="77">
        <v>83969</v>
      </c>
      <c r="I18" s="77">
        <v>81414</v>
      </c>
      <c r="J18" s="61">
        <v>86488</v>
      </c>
      <c r="K18" s="28">
        <v>86488</v>
      </c>
      <c r="L18" s="28">
        <v>86488</v>
      </c>
      <c r="M18" s="28">
        <v>79235</v>
      </c>
      <c r="N18" s="28">
        <v>89906</v>
      </c>
      <c r="O18" s="28">
        <v>83906</v>
      </c>
      <c r="P18" s="106">
        <v>83906</v>
      </c>
      <c r="Q18" s="28">
        <v>94401</v>
      </c>
      <c r="R18" s="37"/>
    </row>
    <row r="19" spans="1:18" ht="15" x14ac:dyDescent="0.2">
      <c r="A19" s="37" t="s">
        <v>60</v>
      </c>
      <c r="B19" s="37"/>
      <c r="C19" s="37"/>
      <c r="D19" s="76">
        <v>25231</v>
      </c>
      <c r="E19" s="61">
        <v>21872</v>
      </c>
      <c r="F19" s="61">
        <v>27019</v>
      </c>
      <c r="G19" s="61">
        <v>24015</v>
      </c>
      <c r="H19" s="61">
        <v>24015</v>
      </c>
      <c r="I19" s="61">
        <v>23285</v>
      </c>
      <c r="J19" s="61">
        <f>+(J18*0.3249)</f>
        <v>28099.951200000003</v>
      </c>
      <c r="K19" s="28">
        <v>26162</v>
      </c>
      <c r="L19" s="28">
        <v>26162</v>
      </c>
      <c r="M19" s="28">
        <v>25752</v>
      </c>
      <c r="N19" s="28">
        <v>27197</v>
      </c>
      <c r="O19" s="28">
        <v>27269</v>
      </c>
      <c r="P19" s="106">
        <v>27269</v>
      </c>
      <c r="Q19" s="28">
        <v>30680</v>
      </c>
      <c r="R19" s="37"/>
    </row>
    <row r="20" spans="1:18" ht="15" x14ac:dyDescent="0.2">
      <c r="A20" s="37" t="s">
        <v>12</v>
      </c>
      <c r="B20" s="37"/>
      <c r="C20" s="37"/>
      <c r="D20" s="78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106"/>
      <c r="Q20" s="28"/>
      <c r="R20" s="37"/>
    </row>
    <row r="21" spans="1:18" ht="15" x14ac:dyDescent="0.2">
      <c r="A21" s="37" t="s">
        <v>13</v>
      </c>
      <c r="B21" s="37"/>
      <c r="C21" s="37"/>
      <c r="D21" s="78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106"/>
      <c r="Q21" s="28"/>
      <c r="R21" s="37"/>
    </row>
    <row r="22" spans="1:18" ht="15" x14ac:dyDescent="0.2">
      <c r="A22" s="37" t="s">
        <v>65</v>
      </c>
      <c r="B22" s="37"/>
      <c r="C22" s="37"/>
      <c r="D22" s="76">
        <v>109583</v>
      </c>
      <c r="E22" s="61">
        <v>118802</v>
      </c>
      <c r="F22" s="61">
        <v>131878</v>
      </c>
      <c r="G22" s="61">
        <v>131878</v>
      </c>
      <c r="H22" s="61">
        <v>131878</v>
      </c>
      <c r="I22" s="61">
        <v>131878</v>
      </c>
      <c r="J22" s="61">
        <v>128047</v>
      </c>
      <c r="K22" s="28">
        <v>128047</v>
      </c>
      <c r="L22" s="28">
        <v>128047</v>
      </c>
      <c r="M22" s="28">
        <v>128047</v>
      </c>
      <c r="N22" s="28">
        <v>141202</v>
      </c>
      <c r="O22" s="28">
        <v>141202</v>
      </c>
      <c r="P22" s="106">
        <v>141202</v>
      </c>
      <c r="Q22" s="28">
        <v>153013</v>
      </c>
      <c r="R22" s="37"/>
    </row>
    <row r="23" spans="1:18" ht="15" x14ac:dyDescent="0.2">
      <c r="A23" s="37" t="s">
        <v>47</v>
      </c>
      <c r="B23" s="37"/>
      <c r="C23" s="37"/>
      <c r="D23" s="78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106"/>
      <c r="Q23" s="28"/>
      <c r="R23" s="37"/>
    </row>
    <row r="24" spans="1:18" ht="15" x14ac:dyDescent="0.2">
      <c r="A24" s="37" t="s">
        <v>15</v>
      </c>
      <c r="B24" s="37"/>
      <c r="C24" s="37"/>
      <c r="D24" s="7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106"/>
      <c r="Q24" s="28"/>
      <c r="R24" s="37"/>
    </row>
    <row r="25" spans="1:18" ht="15" x14ac:dyDescent="0.2">
      <c r="A25" s="37" t="s">
        <v>16</v>
      </c>
      <c r="B25" s="37"/>
      <c r="C25" s="37"/>
      <c r="D25" s="78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106"/>
      <c r="Q25" s="28"/>
      <c r="R25" s="37"/>
    </row>
    <row r="26" spans="1:18" ht="15" x14ac:dyDescent="0.2">
      <c r="A26" s="37" t="s">
        <v>19</v>
      </c>
      <c r="B26" s="37"/>
      <c r="C26" s="37"/>
      <c r="D26" s="79">
        <v>570</v>
      </c>
      <c r="E26" s="80">
        <v>2533</v>
      </c>
      <c r="F26" s="80">
        <v>3000</v>
      </c>
      <c r="G26" s="80">
        <v>3000</v>
      </c>
      <c r="H26" s="80">
        <v>3000</v>
      </c>
      <c r="I26" s="80">
        <v>3142</v>
      </c>
      <c r="J26" s="80">
        <v>3000</v>
      </c>
      <c r="K26" s="28">
        <v>3000</v>
      </c>
      <c r="L26" s="28">
        <v>3000</v>
      </c>
      <c r="M26" s="28">
        <v>1574</v>
      </c>
      <c r="N26" s="28">
        <v>3000</v>
      </c>
      <c r="O26" s="28">
        <v>3000</v>
      </c>
      <c r="P26" s="106">
        <v>3000</v>
      </c>
      <c r="Q26" s="28">
        <v>3000</v>
      </c>
      <c r="R26" s="37"/>
    </row>
    <row r="27" spans="1:18" ht="15" x14ac:dyDescent="0.2">
      <c r="A27" s="37" t="s">
        <v>36</v>
      </c>
      <c r="B27" s="37"/>
      <c r="C27" s="37"/>
      <c r="D27" s="76">
        <v>5856</v>
      </c>
      <c r="E27" s="61">
        <v>7772</v>
      </c>
      <c r="F27" s="61">
        <v>8000</v>
      </c>
      <c r="G27" s="61">
        <v>8000</v>
      </c>
      <c r="H27" s="61">
        <v>8000</v>
      </c>
      <c r="I27" s="61">
        <v>4715</v>
      </c>
      <c r="J27" s="61">
        <v>8000</v>
      </c>
      <c r="K27" s="28">
        <v>5000</v>
      </c>
      <c r="L27" s="28">
        <v>5000</v>
      </c>
      <c r="M27" s="28">
        <v>4570</v>
      </c>
      <c r="N27" s="28">
        <v>5000</v>
      </c>
      <c r="O27" s="28">
        <v>5000</v>
      </c>
      <c r="P27" s="106">
        <v>5000</v>
      </c>
      <c r="Q27" s="28">
        <v>5000</v>
      </c>
      <c r="R27" s="37"/>
    </row>
    <row r="28" spans="1:18" ht="15" x14ac:dyDescent="0.2">
      <c r="A28" s="37" t="s">
        <v>66</v>
      </c>
      <c r="B28" s="37"/>
      <c r="C28" s="37"/>
      <c r="D28" s="76"/>
      <c r="E28" s="61"/>
      <c r="F28" s="61">
        <v>3000</v>
      </c>
      <c r="G28" s="61"/>
      <c r="H28" s="61"/>
      <c r="I28" s="61"/>
      <c r="J28" s="61">
        <v>3000</v>
      </c>
      <c r="K28" s="28"/>
      <c r="L28" s="28"/>
      <c r="M28" s="28"/>
      <c r="N28" s="28"/>
      <c r="O28" s="28"/>
      <c r="P28" s="106"/>
      <c r="Q28" s="28"/>
      <c r="R28" s="37"/>
    </row>
    <row r="29" spans="1:18" ht="15" x14ac:dyDescent="0.2">
      <c r="A29" s="37" t="s">
        <v>20</v>
      </c>
      <c r="B29" s="37"/>
      <c r="C29" s="37"/>
      <c r="D29" s="78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106"/>
      <c r="Q29" s="28"/>
      <c r="R29" s="37"/>
    </row>
    <row r="30" spans="1:18" ht="15" x14ac:dyDescent="0.2">
      <c r="A30" s="37" t="s">
        <v>37</v>
      </c>
      <c r="B30" s="37"/>
      <c r="C30" s="37"/>
      <c r="D30" s="78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106"/>
      <c r="Q30" s="28"/>
      <c r="R30" s="37"/>
    </row>
    <row r="31" spans="1:18" ht="15" x14ac:dyDescent="0.2">
      <c r="A31" s="37" t="s">
        <v>21</v>
      </c>
      <c r="B31" s="37"/>
      <c r="C31" s="37"/>
      <c r="D31" s="78"/>
      <c r="E31" s="29"/>
      <c r="F31" s="29">
        <v>3000</v>
      </c>
      <c r="G31" s="29"/>
      <c r="H31" s="29"/>
      <c r="I31" s="29"/>
      <c r="J31" s="29">
        <v>3000</v>
      </c>
      <c r="K31" s="28"/>
      <c r="L31" s="28"/>
      <c r="M31" s="28"/>
      <c r="N31" s="28">
        <v>3000</v>
      </c>
      <c r="O31" s="28">
        <v>1000</v>
      </c>
      <c r="P31" s="106">
        <v>1000</v>
      </c>
      <c r="Q31" s="28">
        <v>1000</v>
      </c>
      <c r="R31" s="37"/>
    </row>
    <row r="32" spans="1:18" ht="15" x14ac:dyDescent="0.2">
      <c r="A32" s="37" t="s">
        <v>81</v>
      </c>
      <c r="B32" s="37"/>
      <c r="C32" s="37"/>
      <c r="D32" s="78">
        <v>2127</v>
      </c>
      <c r="E32" s="29">
        <v>499</v>
      </c>
      <c r="F32" s="29">
        <v>1000</v>
      </c>
      <c r="G32" s="29">
        <v>6000</v>
      </c>
      <c r="H32" s="29">
        <v>6000</v>
      </c>
      <c r="I32" s="29">
        <v>725</v>
      </c>
      <c r="J32" s="29">
        <v>2000</v>
      </c>
      <c r="K32" s="28">
        <v>500</v>
      </c>
      <c r="L32" s="28">
        <v>500</v>
      </c>
      <c r="M32" s="28">
        <v>1187</v>
      </c>
      <c r="N32" s="28">
        <v>1000</v>
      </c>
      <c r="O32" s="28">
        <v>1000</v>
      </c>
      <c r="P32" s="106">
        <v>1000</v>
      </c>
      <c r="Q32" s="28">
        <v>1200</v>
      </c>
      <c r="R32" s="37"/>
    </row>
    <row r="33" spans="1:18" ht="15.75" x14ac:dyDescent="0.25">
      <c r="A33" s="26" t="s">
        <v>30</v>
      </c>
      <c r="B33" s="37"/>
      <c r="C33" s="37"/>
      <c r="D33" s="81">
        <f t="shared" ref="D33:G33" si="3">SUM(D18:D32)</f>
        <v>221024</v>
      </c>
      <c r="E33" s="82">
        <f t="shared" ref="E33" si="4">SUM(E18:E32)</f>
        <v>227953</v>
      </c>
      <c r="F33" s="82">
        <f t="shared" si="3"/>
        <v>260058</v>
      </c>
      <c r="G33" s="82">
        <f t="shared" si="3"/>
        <v>256862</v>
      </c>
      <c r="H33" s="82">
        <f t="shared" ref="H33" si="5">SUM(H18:H32)</f>
        <v>256862</v>
      </c>
      <c r="I33" s="82">
        <f t="shared" ref="I33:P33" si="6">SUM(I18:I32)</f>
        <v>245159</v>
      </c>
      <c r="J33" s="82">
        <f t="shared" si="6"/>
        <v>261634.95120000001</v>
      </c>
      <c r="K33" s="83">
        <f t="shared" si="6"/>
        <v>249197</v>
      </c>
      <c r="L33" s="83">
        <f t="shared" si="6"/>
        <v>249197</v>
      </c>
      <c r="M33" s="83">
        <f t="shared" si="6"/>
        <v>240365</v>
      </c>
      <c r="N33" s="66">
        <f t="shared" si="6"/>
        <v>270305</v>
      </c>
      <c r="O33" s="66">
        <f t="shared" si="6"/>
        <v>262377</v>
      </c>
      <c r="P33" s="107">
        <f t="shared" si="6"/>
        <v>262377</v>
      </c>
      <c r="Q33" s="66">
        <f t="shared" ref="Q33" si="7">SUM(Q18:Q32)</f>
        <v>288294</v>
      </c>
      <c r="R33" s="84">
        <f>Q33/(Q8+Q9)</f>
        <v>0.13189838808854532</v>
      </c>
    </row>
    <row r="34" spans="1:18" ht="15.75" x14ac:dyDescent="0.25">
      <c r="A34" s="37" t="s">
        <v>32</v>
      </c>
      <c r="B34" s="37"/>
      <c r="C34" s="37"/>
      <c r="D34" s="85">
        <v>8940</v>
      </c>
      <c r="E34" s="86">
        <v>9942</v>
      </c>
      <c r="F34" s="86">
        <f>F9*0.015</f>
        <v>11126.189999999999</v>
      </c>
      <c r="G34" s="86">
        <v>11126</v>
      </c>
      <c r="H34" s="86">
        <v>11126</v>
      </c>
      <c r="I34" s="86">
        <v>11331</v>
      </c>
      <c r="J34" s="86">
        <v>10803</v>
      </c>
      <c r="K34" s="83">
        <v>10803</v>
      </c>
      <c r="L34" s="83">
        <v>10803</v>
      </c>
      <c r="M34" s="83">
        <v>10803</v>
      </c>
      <c r="N34" s="66">
        <v>11913</v>
      </c>
      <c r="O34" s="66">
        <v>11913</v>
      </c>
      <c r="P34" s="107">
        <v>11913</v>
      </c>
      <c r="Q34" s="66">
        <v>12904</v>
      </c>
      <c r="R34" s="37"/>
    </row>
    <row r="35" spans="1:18" ht="15.75" x14ac:dyDescent="0.25">
      <c r="A35" s="26" t="s">
        <v>31</v>
      </c>
      <c r="B35" s="37"/>
      <c r="C35" s="37"/>
      <c r="D35" s="81">
        <f t="shared" ref="D35:G35" si="8">+D34+D33</f>
        <v>229964</v>
      </c>
      <c r="E35" s="82">
        <f>E34+E33</f>
        <v>237895</v>
      </c>
      <c r="F35" s="82">
        <f t="shared" si="8"/>
        <v>271184.19</v>
      </c>
      <c r="G35" s="82">
        <f t="shared" si="8"/>
        <v>267988</v>
      </c>
      <c r="H35" s="82">
        <f t="shared" ref="H35" si="9">+H34+H33</f>
        <v>267988</v>
      </c>
      <c r="I35" s="82">
        <f t="shared" ref="I35:P35" si="10">SUM(I33:I34)</f>
        <v>256490</v>
      </c>
      <c r="J35" s="82">
        <f t="shared" si="10"/>
        <v>272437.95120000001</v>
      </c>
      <c r="K35" s="83">
        <f t="shared" si="10"/>
        <v>260000</v>
      </c>
      <c r="L35" s="83">
        <f t="shared" si="10"/>
        <v>260000</v>
      </c>
      <c r="M35" s="83">
        <f t="shared" si="10"/>
        <v>251168</v>
      </c>
      <c r="N35" s="66">
        <f t="shared" si="10"/>
        <v>282218</v>
      </c>
      <c r="O35" s="66">
        <f t="shared" si="10"/>
        <v>274290</v>
      </c>
      <c r="P35" s="107">
        <f t="shared" si="10"/>
        <v>274290</v>
      </c>
      <c r="Q35" s="66">
        <f t="shared" ref="Q35" si="11">SUM(Q33:Q34)</f>
        <v>301198</v>
      </c>
      <c r="R35" s="84">
        <f>Q35/(Q8+Q9)</f>
        <v>0.13780214189505738</v>
      </c>
    </row>
    <row r="36" spans="1:18" ht="15.75" x14ac:dyDescent="0.25">
      <c r="A36" s="87" t="s">
        <v>17</v>
      </c>
      <c r="B36" s="54"/>
      <c r="C36" s="55"/>
      <c r="D36" s="88"/>
      <c r="E36" s="89"/>
      <c r="F36" s="89"/>
      <c r="G36" s="89"/>
      <c r="H36" s="89"/>
      <c r="I36" s="89"/>
      <c r="J36" s="90"/>
      <c r="K36" s="91"/>
      <c r="L36" s="91"/>
      <c r="M36" s="91"/>
      <c r="N36" s="90"/>
      <c r="O36" s="90"/>
      <c r="P36" s="106"/>
      <c r="Q36" s="90"/>
      <c r="R36" s="37"/>
    </row>
    <row r="37" spans="1:18" ht="15" x14ac:dyDescent="0.2">
      <c r="A37" s="37" t="s">
        <v>59</v>
      </c>
      <c r="B37" s="37"/>
      <c r="C37" s="37"/>
      <c r="D37" s="92">
        <v>51771</v>
      </c>
      <c r="E37" s="93">
        <v>50984</v>
      </c>
      <c r="F37" s="93">
        <v>55441</v>
      </c>
      <c r="G37" s="93">
        <v>57979</v>
      </c>
      <c r="H37" s="93">
        <v>57979</v>
      </c>
      <c r="I37" s="93">
        <v>54276</v>
      </c>
      <c r="J37" s="93">
        <v>57658</v>
      </c>
      <c r="K37" s="59">
        <v>57658</v>
      </c>
      <c r="L37" s="59">
        <v>57658</v>
      </c>
      <c r="M37" s="59">
        <v>52823</v>
      </c>
      <c r="N37" s="28">
        <v>59964</v>
      </c>
      <c r="O37" s="28">
        <v>55964</v>
      </c>
      <c r="P37" s="106">
        <v>55964</v>
      </c>
      <c r="Q37" s="28">
        <v>62363</v>
      </c>
      <c r="R37" s="37"/>
    </row>
    <row r="38" spans="1:18" ht="15" x14ac:dyDescent="0.2">
      <c r="A38" s="37" t="s">
        <v>61</v>
      </c>
      <c r="B38" s="37"/>
      <c r="C38" s="37"/>
      <c r="D38" s="92">
        <v>16820</v>
      </c>
      <c r="E38" s="93">
        <v>14581</v>
      </c>
      <c r="F38" s="93">
        <v>18013</v>
      </c>
      <c r="G38" s="93">
        <v>16010</v>
      </c>
      <c r="H38" s="93">
        <v>16010</v>
      </c>
      <c r="I38" s="93">
        <v>15523</v>
      </c>
      <c r="J38" s="93">
        <f>(J37*0.3249)</f>
        <v>18733.084200000001</v>
      </c>
      <c r="K38" s="59">
        <v>17442</v>
      </c>
      <c r="L38" s="59">
        <v>17442</v>
      </c>
      <c r="M38" s="59">
        <v>17168</v>
      </c>
      <c r="N38" s="28">
        <v>18139</v>
      </c>
      <c r="O38" s="28">
        <v>18188</v>
      </c>
      <c r="P38" s="106">
        <v>18188</v>
      </c>
      <c r="Q38" s="28">
        <v>20268</v>
      </c>
      <c r="R38" s="37"/>
    </row>
    <row r="39" spans="1:18" ht="15" x14ac:dyDescent="0.2">
      <c r="A39" s="37" t="s">
        <v>12</v>
      </c>
      <c r="B39" s="37"/>
      <c r="C39" s="37"/>
      <c r="D39" s="94">
        <v>202055</v>
      </c>
      <c r="E39" s="95">
        <v>85232</v>
      </c>
      <c r="F39" s="95">
        <v>260000</v>
      </c>
      <c r="G39" s="95">
        <v>200000</v>
      </c>
      <c r="H39" s="95">
        <v>200000</v>
      </c>
      <c r="I39" s="95">
        <v>167912</v>
      </c>
      <c r="J39" s="95">
        <v>300000</v>
      </c>
      <c r="K39" s="59">
        <v>220000</v>
      </c>
      <c r="L39" s="59">
        <v>220000</v>
      </c>
      <c r="M39" s="59">
        <v>236936</v>
      </c>
      <c r="N39" s="28">
        <v>714000</v>
      </c>
      <c r="O39" s="28">
        <v>300000</v>
      </c>
      <c r="P39" s="106">
        <v>300000</v>
      </c>
      <c r="Q39" s="28">
        <v>290000</v>
      </c>
      <c r="R39" s="37"/>
    </row>
    <row r="40" spans="1:18" ht="15" x14ac:dyDescent="0.2">
      <c r="A40" s="37" t="s">
        <v>13</v>
      </c>
      <c r="B40" s="37"/>
      <c r="C40" s="37"/>
      <c r="D40" s="78"/>
      <c r="E40" s="29"/>
      <c r="F40" s="29"/>
      <c r="G40" s="29"/>
      <c r="H40" s="29"/>
      <c r="I40" s="29"/>
      <c r="J40" s="29"/>
      <c r="K40" s="59"/>
      <c r="L40" s="59"/>
      <c r="M40" s="59"/>
      <c r="N40" s="28"/>
      <c r="O40" s="28"/>
      <c r="P40" s="106"/>
      <c r="Q40" s="28"/>
      <c r="R40" s="37"/>
    </row>
    <row r="41" spans="1:18" ht="15" x14ac:dyDescent="0.2">
      <c r="A41" s="37" t="s">
        <v>14</v>
      </c>
      <c r="B41" s="37"/>
      <c r="C41" s="37"/>
      <c r="D41" s="78"/>
      <c r="E41" s="29"/>
      <c r="F41" s="29"/>
      <c r="G41" s="29"/>
      <c r="H41" s="29"/>
      <c r="I41" s="29"/>
      <c r="J41" s="29"/>
      <c r="K41" s="59"/>
      <c r="L41" s="59"/>
      <c r="M41" s="59"/>
      <c r="N41" s="28"/>
      <c r="O41" s="28"/>
      <c r="P41" s="106"/>
      <c r="Q41" s="28"/>
      <c r="R41" s="37"/>
    </row>
    <row r="42" spans="1:18" ht="15" x14ac:dyDescent="0.2">
      <c r="A42" s="37" t="s">
        <v>15</v>
      </c>
      <c r="B42" s="37"/>
      <c r="C42" s="37"/>
      <c r="D42" s="78"/>
      <c r="E42" s="29"/>
      <c r="F42" s="29"/>
      <c r="G42" s="29"/>
      <c r="H42" s="29"/>
      <c r="I42" s="29"/>
      <c r="J42" s="29"/>
      <c r="K42" s="59"/>
      <c r="L42" s="59"/>
      <c r="M42" s="59"/>
      <c r="N42" s="28"/>
      <c r="O42" s="28"/>
      <c r="P42" s="106"/>
      <c r="Q42" s="28"/>
      <c r="R42" s="37"/>
    </row>
    <row r="43" spans="1:18" ht="15" x14ac:dyDescent="0.2">
      <c r="A43" s="37" t="s">
        <v>33</v>
      </c>
      <c r="B43" s="37"/>
      <c r="C43" s="37"/>
      <c r="D43" s="92">
        <v>1595</v>
      </c>
      <c r="E43" s="93">
        <v>1895</v>
      </c>
      <c r="F43" s="93">
        <v>3000</v>
      </c>
      <c r="G43" s="93">
        <v>3000</v>
      </c>
      <c r="H43" s="93">
        <v>3000</v>
      </c>
      <c r="I43" s="93">
        <v>810</v>
      </c>
      <c r="J43" s="93">
        <v>3000</v>
      </c>
      <c r="K43" s="59">
        <v>3000</v>
      </c>
      <c r="L43" s="59">
        <v>3000</v>
      </c>
      <c r="M43" s="59">
        <v>3558</v>
      </c>
      <c r="N43" s="28">
        <v>3300</v>
      </c>
      <c r="O43" s="28">
        <v>3000</v>
      </c>
      <c r="P43" s="106">
        <v>3000</v>
      </c>
      <c r="Q43" s="28">
        <v>3000</v>
      </c>
      <c r="R43" s="37"/>
    </row>
    <row r="44" spans="1:18" ht="15" x14ac:dyDescent="0.2">
      <c r="A44" s="37" t="s">
        <v>34</v>
      </c>
      <c r="B44" s="37"/>
      <c r="C44" s="37"/>
      <c r="D44" s="78"/>
      <c r="E44" s="29"/>
      <c r="F44" s="29"/>
      <c r="G44" s="29"/>
      <c r="H44" s="29"/>
      <c r="I44" s="29"/>
      <c r="J44" s="29"/>
      <c r="K44" s="59"/>
      <c r="L44" s="59"/>
      <c r="M44" s="59"/>
      <c r="N44" s="28"/>
      <c r="O44" s="28"/>
      <c r="P44" s="106"/>
      <c r="Q44" s="28"/>
      <c r="R44" s="37"/>
    </row>
    <row r="45" spans="1:18" ht="15" x14ac:dyDescent="0.2">
      <c r="A45" s="37" t="s">
        <v>18</v>
      </c>
      <c r="B45" s="37"/>
      <c r="C45" s="37"/>
      <c r="D45" s="92"/>
      <c r="E45" s="93">
        <v>1271</v>
      </c>
      <c r="F45" s="93">
        <v>15000</v>
      </c>
      <c r="G45" s="93">
        <v>3000</v>
      </c>
      <c r="H45" s="93">
        <v>3000</v>
      </c>
      <c r="I45" s="93">
        <v>3650</v>
      </c>
      <c r="J45" s="93">
        <v>5000</v>
      </c>
      <c r="K45" s="59">
        <v>5000</v>
      </c>
      <c r="L45" s="59">
        <v>5000</v>
      </c>
      <c r="M45" s="59">
        <v>15118</v>
      </c>
      <c r="N45" s="28">
        <v>50000</v>
      </c>
      <c r="O45" s="28">
        <v>115000</v>
      </c>
      <c r="P45" s="106">
        <v>115000</v>
      </c>
      <c r="Q45" s="28">
        <v>50000</v>
      </c>
      <c r="R45" s="37"/>
    </row>
    <row r="46" spans="1:18" ht="15" x14ac:dyDescent="0.2">
      <c r="A46" s="37" t="s">
        <v>48</v>
      </c>
      <c r="B46" s="37"/>
      <c r="C46" s="37"/>
      <c r="D46" s="92">
        <v>2500</v>
      </c>
      <c r="E46" s="93">
        <v>2500</v>
      </c>
      <c r="F46" s="93">
        <v>2500</v>
      </c>
      <c r="G46" s="93">
        <v>2500</v>
      </c>
      <c r="H46" s="93">
        <v>2500</v>
      </c>
      <c r="I46" s="93">
        <v>2500</v>
      </c>
      <c r="J46" s="93">
        <v>2500</v>
      </c>
      <c r="K46" s="59">
        <v>2700</v>
      </c>
      <c r="L46" s="59">
        <v>2700</v>
      </c>
      <c r="M46" s="59">
        <v>2653</v>
      </c>
      <c r="N46" s="28">
        <v>2500</v>
      </c>
      <c r="O46" s="28">
        <v>2500</v>
      </c>
      <c r="P46" s="106">
        <v>2500</v>
      </c>
      <c r="Q46" s="28">
        <v>2500</v>
      </c>
      <c r="R46" s="37"/>
    </row>
    <row r="47" spans="1:18" ht="15.75" x14ac:dyDescent="0.25">
      <c r="A47" s="37" t="s">
        <v>39</v>
      </c>
      <c r="B47" s="37"/>
      <c r="C47" s="37"/>
      <c r="D47" s="94">
        <v>119954</v>
      </c>
      <c r="E47" s="95">
        <v>2646</v>
      </c>
      <c r="F47" s="95">
        <v>430000</v>
      </c>
      <c r="G47" s="95">
        <v>204000</v>
      </c>
      <c r="H47" s="95">
        <v>204000</v>
      </c>
      <c r="I47" s="95">
        <v>8765</v>
      </c>
      <c r="J47" s="95">
        <v>520000</v>
      </c>
      <c r="K47" s="59">
        <v>250000</v>
      </c>
      <c r="L47" s="59">
        <v>250000</v>
      </c>
      <c r="M47" s="59">
        <v>676</v>
      </c>
      <c r="N47" s="28">
        <v>850000</v>
      </c>
      <c r="O47" s="28">
        <v>235441</v>
      </c>
      <c r="P47" s="106">
        <v>235441</v>
      </c>
      <c r="Q47" s="28">
        <v>300000</v>
      </c>
      <c r="R47" s="96">
        <v>1</v>
      </c>
    </row>
    <row r="48" spans="1:18" ht="15.75" x14ac:dyDescent="0.25">
      <c r="A48" s="37" t="s">
        <v>22</v>
      </c>
      <c r="B48" s="37"/>
      <c r="C48" s="37"/>
      <c r="D48" s="94">
        <v>807107</v>
      </c>
      <c r="E48" s="95">
        <v>704281</v>
      </c>
      <c r="F48" s="95">
        <v>730614</v>
      </c>
      <c r="G48" s="95">
        <v>499470</v>
      </c>
      <c r="H48" s="95">
        <v>499470</v>
      </c>
      <c r="I48" s="95">
        <v>303394</v>
      </c>
      <c r="J48" s="95">
        <v>2112000</v>
      </c>
      <c r="K48" s="59">
        <v>889000</v>
      </c>
      <c r="L48" s="59">
        <v>889000</v>
      </c>
      <c r="M48" s="59">
        <v>873296</v>
      </c>
      <c r="N48" s="28">
        <v>2224000</v>
      </c>
      <c r="O48" s="28">
        <v>1102000</v>
      </c>
      <c r="P48" s="106">
        <v>1112198</v>
      </c>
      <c r="Q48" s="28">
        <v>6720000</v>
      </c>
      <c r="R48" s="96">
        <v>2</v>
      </c>
    </row>
    <row r="49" spans="1:18" ht="15.75" x14ac:dyDescent="0.25">
      <c r="A49" s="37" t="s">
        <v>24</v>
      </c>
      <c r="B49" s="37"/>
      <c r="C49" s="37"/>
      <c r="D49" s="97"/>
      <c r="E49" s="33"/>
      <c r="F49" s="33"/>
      <c r="G49" s="33"/>
      <c r="H49" s="33"/>
      <c r="I49" s="33"/>
      <c r="J49" s="33"/>
      <c r="K49" s="59"/>
      <c r="L49" s="59"/>
      <c r="M49" s="59"/>
      <c r="N49" s="28"/>
      <c r="O49" s="28"/>
      <c r="P49" s="106"/>
      <c r="Q49" s="28"/>
      <c r="R49" s="98"/>
    </row>
    <row r="50" spans="1:18" ht="15.75" x14ac:dyDescent="0.25">
      <c r="A50" s="37" t="s">
        <v>38</v>
      </c>
      <c r="B50" s="37"/>
      <c r="C50" s="37"/>
      <c r="D50" s="97">
        <v>5700</v>
      </c>
      <c r="E50" s="33">
        <v>6799</v>
      </c>
      <c r="F50" s="33">
        <v>10000</v>
      </c>
      <c r="G50" s="33">
        <v>15000</v>
      </c>
      <c r="H50" s="33">
        <v>15000</v>
      </c>
      <c r="I50" s="33">
        <v>20401</v>
      </c>
      <c r="J50" s="33">
        <v>10000</v>
      </c>
      <c r="K50" s="59">
        <v>5000</v>
      </c>
      <c r="L50" s="59">
        <v>5000</v>
      </c>
      <c r="M50" s="59">
        <v>3275</v>
      </c>
      <c r="N50" s="28">
        <v>10000</v>
      </c>
      <c r="O50" s="28">
        <v>5000</v>
      </c>
      <c r="P50" s="106">
        <v>5000</v>
      </c>
      <c r="Q50" s="28">
        <v>10000</v>
      </c>
      <c r="R50" s="98"/>
    </row>
    <row r="51" spans="1:18" ht="15.75" x14ac:dyDescent="0.25">
      <c r="A51" s="37" t="s">
        <v>40</v>
      </c>
      <c r="B51" s="37"/>
      <c r="C51" s="37"/>
      <c r="D51" s="97"/>
      <c r="E51" s="33"/>
      <c r="F51" s="33"/>
      <c r="G51" s="33"/>
      <c r="H51" s="33">
        <v>15000</v>
      </c>
      <c r="I51" s="33"/>
      <c r="J51" s="33">
        <v>100000</v>
      </c>
      <c r="K51" s="59">
        <v>10000</v>
      </c>
      <c r="L51" s="59">
        <v>10000</v>
      </c>
      <c r="M51" s="59"/>
      <c r="N51" s="28">
        <v>100000</v>
      </c>
      <c r="O51" s="28">
        <v>100000</v>
      </c>
      <c r="P51" s="106">
        <v>100000</v>
      </c>
      <c r="Q51" s="28">
        <v>250000</v>
      </c>
      <c r="R51" s="98">
        <v>5</v>
      </c>
    </row>
    <row r="52" spans="1:18" ht="15.75" x14ac:dyDescent="0.25">
      <c r="A52" s="37" t="s">
        <v>70</v>
      </c>
      <c r="B52" s="37"/>
      <c r="C52" s="37"/>
      <c r="D52" s="94"/>
      <c r="E52" s="95">
        <v>9809</v>
      </c>
      <c r="F52" s="95">
        <v>50000</v>
      </c>
      <c r="G52" s="95">
        <v>10000</v>
      </c>
      <c r="H52" s="95">
        <v>10000</v>
      </c>
      <c r="I52" s="95"/>
      <c r="J52" s="95">
        <v>50000</v>
      </c>
      <c r="K52" s="59">
        <v>10000</v>
      </c>
      <c r="L52" s="59">
        <v>10000</v>
      </c>
      <c r="M52" s="59">
        <v>10000</v>
      </c>
      <c r="N52" s="28">
        <v>50000</v>
      </c>
      <c r="O52" s="28">
        <v>10000</v>
      </c>
      <c r="P52" s="106">
        <v>10000</v>
      </c>
      <c r="Q52" s="28">
        <v>30000</v>
      </c>
      <c r="R52" s="96">
        <v>3</v>
      </c>
    </row>
    <row r="53" spans="1:18" ht="15.75" x14ac:dyDescent="0.25">
      <c r="A53" s="37" t="s">
        <v>45</v>
      </c>
      <c r="B53" s="37"/>
      <c r="C53" s="37"/>
      <c r="D53" s="97"/>
      <c r="E53" s="33"/>
      <c r="F53" s="33"/>
      <c r="G53" s="33"/>
      <c r="H53" s="33"/>
      <c r="I53" s="33"/>
      <c r="J53" s="33"/>
      <c r="K53" s="59"/>
      <c r="L53" s="59"/>
      <c r="M53" s="59"/>
      <c r="N53" s="28"/>
      <c r="O53" s="28"/>
      <c r="P53" s="106"/>
      <c r="Q53" s="28"/>
      <c r="R53" s="98"/>
    </row>
    <row r="54" spans="1:18" ht="15.75" x14ac:dyDescent="0.25">
      <c r="A54" s="37" t="s">
        <v>23</v>
      </c>
      <c r="B54" s="37"/>
      <c r="C54" s="37"/>
      <c r="D54" s="94"/>
      <c r="E54" s="95"/>
      <c r="F54" s="95">
        <v>30000</v>
      </c>
      <c r="G54" s="95">
        <v>25000</v>
      </c>
      <c r="H54" s="95">
        <v>25000</v>
      </c>
      <c r="I54" s="95"/>
      <c r="J54" s="95">
        <v>20000</v>
      </c>
      <c r="K54" s="59"/>
      <c r="L54" s="59"/>
      <c r="M54" s="59">
        <v>200</v>
      </c>
      <c r="N54" s="28"/>
      <c r="O54" s="28"/>
      <c r="P54" s="106"/>
      <c r="Q54" s="28">
        <v>10000</v>
      </c>
      <c r="R54" s="96">
        <v>4</v>
      </c>
    </row>
    <row r="55" spans="1:18" ht="15" x14ac:dyDescent="0.2">
      <c r="A55" s="37" t="s">
        <v>102</v>
      </c>
      <c r="B55" s="37"/>
      <c r="C55" s="37"/>
      <c r="D55" s="92">
        <v>269640</v>
      </c>
      <c r="E55" s="93">
        <v>300000</v>
      </c>
      <c r="F55" s="93">
        <v>280000</v>
      </c>
      <c r="G55" s="93">
        <v>300000</v>
      </c>
      <c r="H55" s="93">
        <v>300000</v>
      </c>
      <c r="I55" s="93">
        <v>300000</v>
      </c>
      <c r="J55" s="93">
        <v>300000</v>
      </c>
      <c r="K55" s="59">
        <v>300000</v>
      </c>
      <c r="L55" s="59">
        <v>300000</v>
      </c>
      <c r="M55" s="59">
        <v>300000</v>
      </c>
      <c r="N55" s="28">
        <v>300000</v>
      </c>
      <c r="O55" s="28">
        <v>300000</v>
      </c>
      <c r="P55" s="106">
        <v>300000</v>
      </c>
      <c r="Q55" s="28">
        <v>300000</v>
      </c>
      <c r="R55" s="37"/>
    </row>
    <row r="56" spans="1:18" ht="15.75" x14ac:dyDescent="0.25">
      <c r="A56" s="37" t="s">
        <v>103</v>
      </c>
      <c r="B56" s="37"/>
      <c r="C56" s="37"/>
      <c r="D56" s="92"/>
      <c r="E56" s="93"/>
      <c r="F56" s="93"/>
      <c r="G56" s="93"/>
      <c r="H56" s="93"/>
      <c r="I56" s="93"/>
      <c r="J56" s="93"/>
      <c r="K56" s="59"/>
      <c r="L56" s="59"/>
      <c r="M56" s="59"/>
      <c r="N56" s="28"/>
      <c r="O56" s="28"/>
      <c r="P56" s="106"/>
      <c r="Q56" s="28">
        <v>105000</v>
      </c>
      <c r="R56" s="27">
        <v>6</v>
      </c>
    </row>
    <row r="57" spans="1:18" ht="15" x14ac:dyDescent="0.2">
      <c r="A57" s="37" t="s">
        <v>104</v>
      </c>
      <c r="B57" s="37"/>
      <c r="C57" s="37"/>
      <c r="D57" s="97">
        <v>-485</v>
      </c>
      <c r="E57" s="33"/>
      <c r="F57" s="33">
        <v>20000</v>
      </c>
      <c r="G57" s="33">
        <v>12186</v>
      </c>
      <c r="H57" s="33">
        <v>12186</v>
      </c>
      <c r="I57" s="33">
        <v>12977</v>
      </c>
      <c r="J57" s="33">
        <v>15000</v>
      </c>
      <c r="K57" s="59">
        <v>3184</v>
      </c>
      <c r="L57" s="59">
        <v>3184</v>
      </c>
      <c r="M57" s="59"/>
      <c r="N57" s="28">
        <v>10000</v>
      </c>
      <c r="O57" s="28">
        <v>12792</v>
      </c>
      <c r="P57" s="106">
        <v>12792</v>
      </c>
      <c r="Q57" s="28">
        <v>10000</v>
      </c>
      <c r="R57" s="37"/>
    </row>
    <row r="58" spans="1:18" ht="15" x14ac:dyDescent="0.2">
      <c r="A58" s="37" t="s">
        <v>105</v>
      </c>
      <c r="B58" s="37"/>
      <c r="C58" s="37"/>
      <c r="D58" s="92"/>
      <c r="E58" s="93"/>
      <c r="F58" s="93">
        <v>500</v>
      </c>
      <c r="G58" s="93"/>
      <c r="H58" s="93"/>
      <c r="I58" s="93"/>
      <c r="J58" s="93">
        <v>500</v>
      </c>
      <c r="K58" s="59">
        <v>1500</v>
      </c>
      <c r="L58" s="59">
        <v>1500</v>
      </c>
      <c r="M58" s="59"/>
      <c r="N58" s="28">
        <v>1500</v>
      </c>
      <c r="O58" s="28">
        <v>400</v>
      </c>
      <c r="P58" s="106">
        <v>400</v>
      </c>
      <c r="Q58" s="28">
        <v>1000</v>
      </c>
      <c r="R58" s="37"/>
    </row>
    <row r="59" spans="1:18" ht="15.75" x14ac:dyDescent="0.25">
      <c r="A59" s="26" t="s">
        <v>28</v>
      </c>
      <c r="B59" s="37"/>
      <c r="C59" s="37"/>
      <c r="D59" s="99">
        <f t="shared" ref="D59:J59" si="12">SUM(D37:D58)</f>
        <v>1476657</v>
      </c>
      <c r="E59" s="100">
        <f t="shared" si="12"/>
        <v>1179998</v>
      </c>
      <c r="F59" s="100">
        <f t="shared" si="12"/>
        <v>1905068</v>
      </c>
      <c r="G59" s="100">
        <f t="shared" si="12"/>
        <v>1348145</v>
      </c>
      <c r="H59" s="100">
        <f t="shared" si="12"/>
        <v>1363145</v>
      </c>
      <c r="I59" s="100">
        <f t="shared" si="12"/>
        <v>890208</v>
      </c>
      <c r="J59" s="100">
        <f t="shared" si="12"/>
        <v>3514391.0841999999</v>
      </c>
      <c r="K59" s="83">
        <f>SUM(K37:K58)</f>
        <v>1774484</v>
      </c>
      <c r="L59" s="83">
        <f>SUM(L37:L58)</f>
        <v>1774484</v>
      </c>
      <c r="M59" s="83">
        <f>SUM(M37:M58)</f>
        <v>1515703</v>
      </c>
      <c r="N59" s="66">
        <f>SUM(N37:N58)</f>
        <v>4393403</v>
      </c>
      <c r="O59" s="66">
        <f t="shared" ref="O59:P59" si="13">SUM(O37:O58)</f>
        <v>2260285</v>
      </c>
      <c r="P59" s="107">
        <f t="shared" si="13"/>
        <v>2270483</v>
      </c>
      <c r="Q59" s="66">
        <f t="shared" ref="Q59" si="14">SUM(Q37:Q58)</f>
        <v>8164131</v>
      </c>
      <c r="R59" s="37"/>
    </row>
    <row r="60" spans="1:18" ht="15.75" x14ac:dyDescent="0.25">
      <c r="A60" s="26" t="s">
        <v>29</v>
      </c>
      <c r="B60" s="37"/>
      <c r="C60" s="37"/>
      <c r="D60" s="37"/>
      <c r="E60" s="100"/>
      <c r="F60" s="100">
        <f>+F15-F35-F59</f>
        <v>386033.81000000006</v>
      </c>
      <c r="G60" s="100"/>
      <c r="H60" s="100"/>
      <c r="I60" s="100"/>
      <c r="J60" s="100">
        <v>179587</v>
      </c>
      <c r="K60" s="83">
        <v>179587</v>
      </c>
      <c r="L60" s="59"/>
      <c r="M60" s="59"/>
      <c r="N60" s="66">
        <f>+N15-N35-N59</f>
        <v>1165875</v>
      </c>
      <c r="O60" s="66">
        <v>200000</v>
      </c>
      <c r="P60" s="107"/>
      <c r="Q60" s="66">
        <f>SUM(Q15-Q35-Q59)</f>
        <v>46324</v>
      </c>
      <c r="R60" s="37"/>
    </row>
    <row r="61" spans="1:18" ht="15.75" x14ac:dyDescent="0.25">
      <c r="A61" s="62" t="s">
        <v>35</v>
      </c>
      <c r="B61" s="62"/>
      <c r="C61" s="63"/>
      <c r="D61" s="101">
        <f t="shared" ref="D61:M61" si="15">+D35+D59+D60</f>
        <v>1706621</v>
      </c>
      <c r="E61" s="101">
        <f t="shared" si="15"/>
        <v>1417893</v>
      </c>
      <c r="F61" s="101">
        <f t="shared" si="15"/>
        <v>2562286</v>
      </c>
      <c r="G61" s="101">
        <f t="shared" si="15"/>
        <v>1616133</v>
      </c>
      <c r="H61" s="101">
        <f t="shared" si="15"/>
        <v>1631133</v>
      </c>
      <c r="I61" s="101">
        <f t="shared" si="15"/>
        <v>1146698</v>
      </c>
      <c r="J61" s="101">
        <f t="shared" si="15"/>
        <v>3966416.0353999999</v>
      </c>
      <c r="K61" s="101">
        <f t="shared" si="15"/>
        <v>2214071</v>
      </c>
      <c r="L61" s="101">
        <f t="shared" si="15"/>
        <v>2034484</v>
      </c>
      <c r="M61" s="101">
        <f t="shared" si="15"/>
        <v>1766871</v>
      </c>
      <c r="N61" s="66">
        <f>N35+N59+N60</f>
        <v>5841496</v>
      </c>
      <c r="O61" s="66">
        <f t="shared" ref="O61:P61" si="16">O35+O59+O60</f>
        <v>2734575</v>
      </c>
      <c r="P61" s="107">
        <f t="shared" si="16"/>
        <v>2544773</v>
      </c>
      <c r="Q61" s="66">
        <f t="shared" ref="Q61" si="17">Q35+Q59+Q60</f>
        <v>8511653</v>
      </c>
      <c r="R61" s="37"/>
    </row>
    <row r="62" spans="1:18" ht="15.75" x14ac:dyDescent="0.25">
      <c r="A62" s="55"/>
      <c r="B62" s="55"/>
      <c r="C62" s="55"/>
      <c r="D62" s="102"/>
      <c r="E62" s="103"/>
      <c r="F62" s="103"/>
      <c r="G62" s="103"/>
      <c r="H62" s="103"/>
      <c r="I62" s="103"/>
      <c r="J62" s="36"/>
      <c r="K62" s="91"/>
      <c r="L62" s="91"/>
      <c r="M62" s="91"/>
      <c r="N62" s="90"/>
      <c r="O62" s="90"/>
      <c r="P62" s="106"/>
      <c r="Q62" s="90"/>
      <c r="R62" s="37"/>
    </row>
    <row r="63" spans="1:18" ht="15.75" x14ac:dyDescent="0.25">
      <c r="A63" s="62" t="s">
        <v>27</v>
      </c>
      <c r="B63" s="62"/>
      <c r="C63" s="63"/>
      <c r="D63" s="100">
        <f>+D15-D35-D59</f>
        <v>1319624</v>
      </c>
      <c r="E63" s="100">
        <f>+E15-E35-E59</f>
        <v>1602693</v>
      </c>
      <c r="F63" s="100"/>
      <c r="G63" s="100">
        <f>G15-G35-G59</f>
        <v>2044327</v>
      </c>
      <c r="H63" s="100">
        <f>H15-H35-H59</f>
        <v>2029327</v>
      </c>
      <c r="I63" s="100">
        <f>I15-I35-I59</f>
        <v>3124878</v>
      </c>
      <c r="J63" s="100"/>
      <c r="K63" s="100">
        <f>K15-K59-K60</f>
        <v>3224896</v>
      </c>
      <c r="L63" s="100">
        <f>L15-L59-L60</f>
        <v>3404483</v>
      </c>
      <c r="M63" s="100">
        <f>M15-M59-M60</f>
        <v>3618395</v>
      </c>
      <c r="N63" s="28"/>
      <c r="O63" s="100">
        <f t="shared" ref="O63:P63" si="18">O15-O59-O60</f>
        <v>3453123</v>
      </c>
      <c r="P63" s="111">
        <f t="shared" si="18"/>
        <v>3642925</v>
      </c>
      <c r="Q63" s="100"/>
      <c r="R63" s="37"/>
    </row>
    <row r="64" spans="1:18" ht="15" x14ac:dyDescent="0.25">
      <c r="A64" s="24"/>
      <c r="B64" s="24"/>
      <c r="C64" s="13"/>
      <c r="D64" s="2"/>
      <c r="E64" s="2"/>
      <c r="F64" s="2"/>
      <c r="G64" s="2"/>
      <c r="H64" s="2"/>
      <c r="I64" s="2"/>
      <c r="J64" s="2"/>
      <c r="K64" s="2"/>
    </row>
    <row r="65" spans="1:1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9" spans="1:11" hidden="1" x14ac:dyDescent="0.2"/>
    <row r="82" hidden="1" x14ac:dyDescent="0.2"/>
  </sheetData>
  <phoneticPr fontId="0" type="noConversion"/>
  <pageMargins left="0.36" right="0.35" top="0.75" bottom="0.25" header="0.5" footer="0.5"/>
  <pageSetup scale="54" orientation="landscape" r:id="rId1"/>
  <headerFooter alignWithMargins="0">
    <oddHeader>&amp;C&amp;"Arial,Bold"&amp;12City of Florida City
Community Redevlopment Agency
FY 2019-20 Proposed Budget
FY 2019-20 begins October 1,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75" zoomScaleNormal="75" zoomScalePageLayoutView="75" workbookViewId="0">
      <selection activeCell="D1" sqref="D1:Q3"/>
    </sheetView>
  </sheetViews>
  <sheetFormatPr defaultRowHeight="12.75" x14ac:dyDescent="0.2"/>
  <cols>
    <col min="1" max="1" width="14.85546875" customWidth="1"/>
    <col min="2" max="2" width="22.5703125" customWidth="1"/>
    <col min="3" max="3" width="14.5703125" customWidth="1"/>
    <col min="4" max="4" width="11.85546875" customWidth="1"/>
    <col min="5" max="5" width="12.42578125" customWidth="1"/>
    <col min="6" max="8" width="12.42578125" hidden="1" customWidth="1"/>
    <col min="9" max="9" width="12.28515625" customWidth="1"/>
    <col min="10" max="10" width="12.42578125" customWidth="1"/>
    <col min="11" max="11" width="12.5703125" customWidth="1"/>
    <col min="12" max="12" width="13.28515625" customWidth="1"/>
    <col min="13" max="13" width="13.42578125" customWidth="1"/>
    <col min="14" max="14" width="14.42578125" customWidth="1"/>
    <col min="15" max="15" width="13.140625" customWidth="1"/>
    <col min="16" max="16" width="13.85546875" customWidth="1"/>
    <col min="17" max="17" width="13.42578125" customWidth="1"/>
  </cols>
  <sheetData>
    <row r="1" spans="1:18" s="1" customFormat="1" ht="15.75" x14ac:dyDescent="0.25">
      <c r="A1" s="12"/>
      <c r="B1" s="5" t="s">
        <v>2</v>
      </c>
      <c r="C1" s="6" t="s">
        <v>2</v>
      </c>
      <c r="D1" s="44" t="s">
        <v>71</v>
      </c>
      <c r="E1" s="44" t="s">
        <v>74</v>
      </c>
      <c r="F1" s="45" t="s">
        <v>75</v>
      </c>
      <c r="G1" s="44" t="s">
        <v>75</v>
      </c>
      <c r="H1" s="44" t="s">
        <v>75</v>
      </c>
      <c r="I1" s="44" t="s">
        <v>75</v>
      </c>
      <c r="J1" s="44" t="s">
        <v>79</v>
      </c>
      <c r="K1" s="46" t="s">
        <v>78</v>
      </c>
      <c r="L1" s="47" t="s">
        <v>78</v>
      </c>
      <c r="M1" s="47" t="s">
        <v>78</v>
      </c>
      <c r="N1" s="47" t="s">
        <v>89</v>
      </c>
      <c r="O1" s="44" t="s">
        <v>89</v>
      </c>
      <c r="P1" s="44" t="s">
        <v>89</v>
      </c>
      <c r="Q1" s="44" t="s">
        <v>101</v>
      </c>
    </row>
    <row r="2" spans="1:18" s="1" customFormat="1" ht="15.75" x14ac:dyDescent="0.25">
      <c r="A2" s="4"/>
      <c r="B2" s="7"/>
      <c r="C2" s="8"/>
      <c r="D2" s="48" t="s">
        <v>0</v>
      </c>
      <c r="E2" s="48" t="s">
        <v>0</v>
      </c>
      <c r="F2" s="49" t="s">
        <v>0</v>
      </c>
      <c r="G2" s="48" t="s">
        <v>0</v>
      </c>
      <c r="H2" s="48" t="s">
        <v>0</v>
      </c>
      <c r="I2" s="48" t="s">
        <v>0</v>
      </c>
      <c r="J2" s="48" t="s">
        <v>0</v>
      </c>
      <c r="K2" s="46" t="s">
        <v>0</v>
      </c>
      <c r="L2" s="47" t="s">
        <v>0</v>
      </c>
      <c r="M2" s="47" t="s">
        <v>0</v>
      </c>
      <c r="N2" s="47" t="s">
        <v>0</v>
      </c>
      <c r="O2" s="48" t="s">
        <v>0</v>
      </c>
      <c r="P2" s="48" t="s">
        <v>0</v>
      </c>
      <c r="Q2" s="48" t="s">
        <v>0</v>
      </c>
    </row>
    <row r="3" spans="1:18" s="1" customFormat="1" ht="15.75" x14ac:dyDescent="0.25">
      <c r="A3" s="9"/>
      <c r="B3" s="10"/>
      <c r="C3" s="11"/>
      <c r="D3" s="50" t="s">
        <v>1</v>
      </c>
      <c r="E3" s="51" t="s">
        <v>1</v>
      </c>
      <c r="F3" s="52" t="s">
        <v>3</v>
      </c>
      <c r="G3" s="51" t="s">
        <v>73</v>
      </c>
      <c r="H3" s="51" t="s">
        <v>85</v>
      </c>
      <c r="I3" s="51" t="s">
        <v>1</v>
      </c>
      <c r="J3" s="51" t="s">
        <v>3</v>
      </c>
      <c r="K3" s="46" t="s">
        <v>73</v>
      </c>
      <c r="L3" s="53" t="s">
        <v>85</v>
      </c>
      <c r="M3" s="53" t="s">
        <v>1</v>
      </c>
      <c r="N3" s="53" t="s">
        <v>3</v>
      </c>
      <c r="O3" s="51" t="s">
        <v>73</v>
      </c>
      <c r="P3" s="51" t="s">
        <v>85</v>
      </c>
      <c r="Q3" s="51" t="s">
        <v>96</v>
      </c>
    </row>
    <row r="4" spans="1:18" ht="15.75" x14ac:dyDescent="0.25">
      <c r="A4" s="26" t="s">
        <v>8</v>
      </c>
      <c r="B4" s="37"/>
      <c r="C4" s="37"/>
      <c r="D4" s="28"/>
      <c r="E4" s="29"/>
      <c r="F4" s="29"/>
      <c r="G4" s="29"/>
      <c r="H4" s="29"/>
      <c r="I4" s="29"/>
      <c r="J4" s="29"/>
      <c r="K4" s="29"/>
      <c r="L4" s="29"/>
      <c r="M4" s="29"/>
      <c r="N4" s="28"/>
      <c r="O4" s="28"/>
      <c r="P4" s="28"/>
      <c r="Q4" s="28"/>
    </row>
    <row r="5" spans="1:18" ht="15" x14ac:dyDescent="0.2">
      <c r="A5" s="37"/>
      <c r="B5" s="37"/>
      <c r="C5" s="37"/>
      <c r="D5" s="28"/>
      <c r="E5" s="29"/>
      <c r="F5" s="29"/>
      <c r="G5" s="29"/>
      <c r="H5" s="29"/>
      <c r="I5" s="29"/>
      <c r="J5" s="29"/>
      <c r="K5" s="29"/>
      <c r="L5" s="29"/>
      <c r="M5" s="29"/>
      <c r="N5" s="28"/>
      <c r="O5" s="28"/>
      <c r="P5" s="28"/>
      <c r="Q5" s="28"/>
      <c r="R5" s="37"/>
    </row>
    <row r="6" spans="1:18" ht="15.75" x14ac:dyDescent="0.25">
      <c r="A6" s="37" t="s">
        <v>72</v>
      </c>
      <c r="B6" s="37"/>
      <c r="C6" s="37"/>
      <c r="D6" s="28">
        <v>35532</v>
      </c>
      <c r="E6" s="30">
        <v>191030</v>
      </c>
      <c r="F6" s="30">
        <v>20000</v>
      </c>
      <c r="G6" s="30">
        <v>45667</v>
      </c>
      <c r="H6" s="30">
        <v>45667</v>
      </c>
      <c r="I6" s="30"/>
      <c r="J6" s="30"/>
      <c r="K6" s="31"/>
      <c r="L6" s="31"/>
      <c r="M6" s="31"/>
      <c r="N6" s="28"/>
      <c r="O6" s="28"/>
      <c r="P6" s="28"/>
      <c r="Q6" s="28"/>
      <c r="R6" s="43" t="s">
        <v>50</v>
      </c>
    </row>
    <row r="7" spans="1:18" ht="15.75" x14ac:dyDescent="0.25">
      <c r="A7" s="37" t="s">
        <v>41</v>
      </c>
      <c r="B7" s="37"/>
      <c r="C7" s="37"/>
      <c r="D7" s="32"/>
      <c r="E7" s="30"/>
      <c r="F7" s="30">
        <v>20000</v>
      </c>
      <c r="G7" s="30"/>
      <c r="H7" s="30"/>
      <c r="I7" s="30"/>
      <c r="J7" s="30">
        <v>20000</v>
      </c>
      <c r="K7" s="30">
        <v>10000</v>
      </c>
      <c r="L7" s="30">
        <v>10000</v>
      </c>
      <c r="M7" s="30">
        <v>10000</v>
      </c>
      <c r="N7" s="28">
        <v>30000</v>
      </c>
      <c r="O7" s="28"/>
      <c r="P7" s="28"/>
      <c r="Q7" s="28">
        <v>10000</v>
      </c>
      <c r="R7" s="43" t="s">
        <v>51</v>
      </c>
    </row>
    <row r="8" spans="1:18" ht="15.75" x14ac:dyDescent="0.25">
      <c r="A8" s="37" t="s">
        <v>44</v>
      </c>
      <c r="B8" s="37"/>
      <c r="C8" s="37"/>
      <c r="D8" s="32"/>
      <c r="E8" s="30"/>
      <c r="F8" s="30">
        <v>10000</v>
      </c>
      <c r="G8" s="30">
        <v>25000</v>
      </c>
      <c r="H8" s="30">
        <v>25000</v>
      </c>
      <c r="I8" s="30"/>
      <c r="J8" s="30">
        <v>10000</v>
      </c>
      <c r="K8" s="30"/>
      <c r="L8" s="30"/>
      <c r="M8" s="30">
        <v>200</v>
      </c>
      <c r="N8" s="28">
        <v>10000</v>
      </c>
      <c r="O8" s="28"/>
      <c r="P8" s="28"/>
      <c r="Q8" s="28">
        <v>10000</v>
      </c>
      <c r="R8" s="43">
        <v>4</v>
      </c>
    </row>
    <row r="9" spans="1:18" ht="15.75" x14ac:dyDescent="0.25">
      <c r="A9" s="37" t="s">
        <v>57</v>
      </c>
      <c r="B9" s="37"/>
      <c r="C9" s="37"/>
      <c r="D9" s="32">
        <v>100345</v>
      </c>
      <c r="E9" s="30">
        <v>1350</v>
      </c>
      <c r="F9" s="30">
        <v>400000</v>
      </c>
      <c r="G9" s="30">
        <v>194000</v>
      </c>
      <c r="H9" s="30">
        <v>194000</v>
      </c>
      <c r="I9" s="30">
        <v>1189</v>
      </c>
      <c r="J9" s="30">
        <v>300000</v>
      </c>
      <c r="K9" s="30">
        <v>210000</v>
      </c>
      <c r="L9" s="30">
        <v>210000</v>
      </c>
      <c r="M9" s="30">
        <v>676</v>
      </c>
      <c r="N9" s="28">
        <v>150000</v>
      </c>
      <c r="O9" s="28">
        <v>215441</v>
      </c>
      <c r="P9" s="28">
        <v>215441</v>
      </c>
      <c r="Q9" s="28">
        <v>260000</v>
      </c>
      <c r="R9" s="43" t="s">
        <v>49</v>
      </c>
    </row>
    <row r="10" spans="1:18" ht="15.75" x14ac:dyDescent="0.25">
      <c r="A10" s="37" t="s">
        <v>94</v>
      </c>
      <c r="B10" s="37"/>
      <c r="C10" s="37"/>
      <c r="D10" s="32">
        <v>19609</v>
      </c>
      <c r="E10" s="30">
        <v>296</v>
      </c>
      <c r="F10" s="30">
        <v>30000</v>
      </c>
      <c r="G10" s="30">
        <v>10000</v>
      </c>
      <c r="H10" s="30">
        <v>10000</v>
      </c>
      <c r="I10" s="30">
        <v>7578</v>
      </c>
      <c r="J10" s="30">
        <v>220000</v>
      </c>
      <c r="K10" s="30"/>
      <c r="L10" s="30"/>
      <c r="M10" s="30"/>
      <c r="N10" s="28">
        <v>50000</v>
      </c>
      <c r="O10" s="28">
        <v>20000</v>
      </c>
      <c r="P10" s="28">
        <v>20000</v>
      </c>
      <c r="Q10" s="28">
        <v>40000</v>
      </c>
      <c r="R10" s="43" t="s">
        <v>49</v>
      </c>
    </row>
    <row r="11" spans="1:18" ht="15.75" x14ac:dyDescent="0.25">
      <c r="A11" s="37" t="s">
        <v>56</v>
      </c>
      <c r="B11" s="37"/>
      <c r="C11" s="37"/>
      <c r="D11" s="32"/>
      <c r="E11" s="30">
        <v>9809</v>
      </c>
      <c r="F11" s="30">
        <v>30000</v>
      </c>
      <c r="G11" s="30">
        <v>10000</v>
      </c>
      <c r="H11" s="30">
        <v>10000</v>
      </c>
      <c r="I11" s="30"/>
      <c r="J11" s="30">
        <v>30000</v>
      </c>
      <c r="K11" s="30"/>
      <c r="L11" s="30"/>
      <c r="M11" s="30"/>
      <c r="N11" s="28">
        <v>20000</v>
      </c>
      <c r="O11" s="28">
        <v>10000</v>
      </c>
      <c r="P11" s="28">
        <v>10000</v>
      </c>
      <c r="Q11" s="28">
        <v>20000</v>
      </c>
      <c r="R11" s="43" t="s">
        <v>51</v>
      </c>
    </row>
    <row r="12" spans="1:18" ht="15.75" x14ac:dyDescent="0.25">
      <c r="A12" s="37" t="s">
        <v>46</v>
      </c>
      <c r="B12" s="37"/>
      <c r="C12" s="37"/>
      <c r="D12" s="28"/>
      <c r="E12" s="30"/>
      <c r="F12" s="30"/>
      <c r="G12" s="30"/>
      <c r="H12" s="30"/>
      <c r="I12" s="30"/>
      <c r="J12" s="30"/>
      <c r="K12" s="30"/>
      <c r="L12" s="30"/>
      <c r="M12" s="30"/>
      <c r="N12" s="28"/>
      <c r="O12" s="28"/>
      <c r="P12" s="28"/>
      <c r="Q12" s="28"/>
      <c r="R12" s="43"/>
    </row>
    <row r="13" spans="1:18" ht="15.75" x14ac:dyDescent="0.25">
      <c r="A13" s="37" t="s">
        <v>62</v>
      </c>
      <c r="B13" s="37"/>
      <c r="C13" s="37"/>
      <c r="D13" s="32">
        <v>1056290</v>
      </c>
      <c r="E13" s="30">
        <v>232256</v>
      </c>
      <c r="F13" s="30"/>
      <c r="G13" s="30">
        <v>16828</v>
      </c>
      <c r="H13" s="30">
        <v>16828</v>
      </c>
      <c r="I13" s="30"/>
      <c r="J13" s="30"/>
      <c r="K13" s="30"/>
      <c r="L13" s="30"/>
      <c r="M13" s="30"/>
      <c r="N13" s="28"/>
      <c r="O13" s="28"/>
      <c r="P13" s="28"/>
      <c r="Q13" s="28"/>
      <c r="R13" s="43"/>
    </row>
    <row r="14" spans="1:18" ht="15.75" x14ac:dyDescent="0.25">
      <c r="A14" s="37" t="s">
        <v>63</v>
      </c>
      <c r="B14" s="37"/>
      <c r="C14" s="37"/>
      <c r="D14" s="28"/>
      <c r="E14" s="30">
        <v>178626</v>
      </c>
      <c r="F14" s="30">
        <v>50000</v>
      </c>
      <c r="G14" s="30">
        <v>174144</v>
      </c>
      <c r="H14" s="30">
        <v>174144</v>
      </c>
      <c r="I14" s="30"/>
      <c r="J14" s="30"/>
      <c r="K14" s="30"/>
      <c r="L14" s="30"/>
      <c r="M14" s="30">
        <v>452383</v>
      </c>
      <c r="N14" s="28"/>
      <c r="O14" s="28"/>
      <c r="P14" s="28"/>
      <c r="Q14" s="28"/>
      <c r="R14" s="43" t="s">
        <v>50</v>
      </c>
    </row>
    <row r="15" spans="1:18" ht="15.75" x14ac:dyDescent="0.25">
      <c r="A15" s="37" t="s">
        <v>64</v>
      </c>
      <c r="B15" s="37"/>
      <c r="C15" s="37"/>
      <c r="D15" s="28"/>
      <c r="E15" s="30">
        <v>311369</v>
      </c>
      <c r="F15" s="30">
        <v>260614</v>
      </c>
      <c r="G15" s="30">
        <v>262831</v>
      </c>
      <c r="H15" s="30">
        <v>262831</v>
      </c>
      <c r="I15" s="30">
        <v>303394</v>
      </c>
      <c r="J15" s="30">
        <v>112000</v>
      </c>
      <c r="K15" s="30">
        <v>315000</v>
      </c>
      <c r="L15" s="30">
        <v>315000</v>
      </c>
      <c r="M15" s="30">
        <v>163139</v>
      </c>
      <c r="N15" s="28"/>
      <c r="O15" s="28"/>
      <c r="P15" s="28"/>
      <c r="Q15" s="28"/>
      <c r="R15" s="43" t="s">
        <v>50</v>
      </c>
    </row>
    <row r="16" spans="1:18" ht="15.75" x14ac:dyDescent="0.25">
      <c r="A16" s="37" t="s">
        <v>77</v>
      </c>
      <c r="B16" s="37"/>
      <c r="C16" s="37"/>
      <c r="D16" s="28"/>
      <c r="E16" s="33"/>
      <c r="F16" s="33">
        <v>20000</v>
      </c>
      <c r="G16" s="33">
        <v>25000</v>
      </c>
      <c r="H16" s="33">
        <v>25000</v>
      </c>
      <c r="I16" s="33"/>
      <c r="J16" s="33">
        <v>10000</v>
      </c>
      <c r="K16" s="33"/>
      <c r="L16" s="33"/>
      <c r="M16" s="33"/>
      <c r="N16" s="28"/>
      <c r="O16" s="28"/>
      <c r="P16" s="28"/>
      <c r="Q16" s="28"/>
      <c r="R16" s="27">
        <v>4</v>
      </c>
    </row>
    <row r="17" spans="1:18" ht="15.75" x14ac:dyDescent="0.25">
      <c r="A17" s="37" t="s">
        <v>76</v>
      </c>
      <c r="B17" s="37"/>
      <c r="C17" s="37"/>
      <c r="D17" s="28"/>
      <c r="E17" s="33"/>
      <c r="F17" s="33">
        <v>400000</v>
      </c>
      <c r="G17" s="33"/>
      <c r="H17" s="33"/>
      <c r="I17" s="33"/>
      <c r="J17" s="33">
        <v>1800000</v>
      </c>
      <c r="K17" s="33">
        <v>574000</v>
      </c>
      <c r="L17" s="33">
        <v>574000</v>
      </c>
      <c r="M17" s="33">
        <v>257774</v>
      </c>
      <c r="N17" s="28">
        <v>1200000</v>
      </c>
      <c r="O17" s="28">
        <v>1122198</v>
      </c>
      <c r="P17" s="28">
        <v>1122198</v>
      </c>
      <c r="Q17" s="28"/>
      <c r="R17" s="27">
        <v>2</v>
      </c>
    </row>
    <row r="18" spans="1:18" ht="15.75" x14ac:dyDescent="0.25">
      <c r="A18" s="37" t="s">
        <v>80</v>
      </c>
      <c r="B18" s="37"/>
      <c r="C18" s="37"/>
      <c r="D18" s="28"/>
      <c r="E18" s="33"/>
      <c r="F18" s="33"/>
      <c r="G18" s="33"/>
      <c r="H18" s="33"/>
      <c r="I18" s="33"/>
      <c r="J18" s="33">
        <v>40000</v>
      </c>
      <c r="K18" s="33"/>
      <c r="L18" s="33"/>
      <c r="M18" s="33"/>
      <c r="N18" s="28"/>
      <c r="O18" s="28"/>
      <c r="P18" s="28"/>
      <c r="Q18" s="28"/>
      <c r="R18" s="27">
        <v>2</v>
      </c>
    </row>
    <row r="19" spans="1:18" ht="15.75" x14ac:dyDescent="0.25">
      <c r="A19" s="37" t="s">
        <v>93</v>
      </c>
      <c r="B19" s="37"/>
      <c r="C19" s="37"/>
      <c r="D19" s="28"/>
      <c r="E19" s="33"/>
      <c r="F19" s="33"/>
      <c r="G19" s="33"/>
      <c r="H19" s="33"/>
      <c r="I19" s="33"/>
      <c r="J19" s="33">
        <v>60000</v>
      </c>
      <c r="K19" s="33"/>
      <c r="L19" s="33"/>
      <c r="M19" s="33"/>
      <c r="N19" s="28">
        <v>324000</v>
      </c>
      <c r="O19" s="28"/>
      <c r="P19" s="28"/>
      <c r="Q19" s="28"/>
      <c r="R19" s="27">
        <v>2</v>
      </c>
    </row>
    <row r="20" spans="1:18" ht="15.75" x14ac:dyDescent="0.25">
      <c r="A20" s="37" t="s">
        <v>84</v>
      </c>
      <c r="B20" s="37"/>
      <c r="C20" s="37"/>
      <c r="D20" s="28"/>
      <c r="E20" s="33"/>
      <c r="F20" s="33"/>
      <c r="G20" s="33">
        <v>15000</v>
      </c>
      <c r="H20" s="33">
        <v>15000</v>
      </c>
      <c r="I20" s="33"/>
      <c r="J20" s="33">
        <v>100000</v>
      </c>
      <c r="K20" s="33">
        <v>10000</v>
      </c>
      <c r="L20" s="33">
        <v>10000</v>
      </c>
      <c r="M20" s="33"/>
      <c r="N20" s="28">
        <v>100000</v>
      </c>
      <c r="O20" s="28">
        <v>100000</v>
      </c>
      <c r="P20" s="28">
        <v>100000</v>
      </c>
      <c r="Q20" s="28">
        <v>250000</v>
      </c>
      <c r="R20" s="27">
        <v>5</v>
      </c>
    </row>
    <row r="21" spans="1:18" ht="15.75" x14ac:dyDescent="0.25">
      <c r="A21" s="37" t="s">
        <v>82</v>
      </c>
      <c r="B21" s="37"/>
      <c r="C21" s="37"/>
      <c r="D21" s="28"/>
      <c r="E21" s="33"/>
      <c r="F21" s="33"/>
      <c r="G21" s="33"/>
      <c r="H21" s="33"/>
      <c r="I21" s="33"/>
      <c r="J21" s="33">
        <v>100000</v>
      </c>
      <c r="K21" s="33"/>
      <c r="L21" s="33"/>
      <c r="M21" s="33"/>
      <c r="N21" s="28"/>
      <c r="O21" s="28"/>
      <c r="P21" s="28"/>
      <c r="Q21" s="28"/>
      <c r="R21" s="27">
        <v>2</v>
      </c>
    </row>
    <row r="22" spans="1:18" ht="15.75" x14ac:dyDescent="0.25">
      <c r="A22" s="37" t="s">
        <v>90</v>
      </c>
      <c r="B22" s="37"/>
      <c r="C22" s="37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28">
        <v>300000</v>
      </c>
      <c r="O22" s="28"/>
      <c r="P22" s="28"/>
      <c r="Q22" s="28">
        <v>145000</v>
      </c>
      <c r="R22" s="27">
        <v>2</v>
      </c>
    </row>
    <row r="23" spans="1:18" ht="15.75" x14ac:dyDescent="0.25">
      <c r="A23" s="37" t="s">
        <v>91</v>
      </c>
      <c r="B23" s="37"/>
      <c r="C23" s="37"/>
      <c r="D23" s="28"/>
      <c r="E23" s="33"/>
      <c r="F23" s="33"/>
      <c r="G23" s="33"/>
      <c r="H23" s="33"/>
      <c r="I23" s="33"/>
      <c r="J23" s="33"/>
      <c r="K23" s="33"/>
      <c r="L23" s="33"/>
      <c r="M23" s="33"/>
      <c r="N23" s="28">
        <v>400000</v>
      </c>
      <c r="O23" s="28"/>
      <c r="P23" s="28"/>
      <c r="Q23" s="28">
        <v>6395000</v>
      </c>
      <c r="R23" s="27">
        <v>2</v>
      </c>
    </row>
    <row r="24" spans="1:18" ht="15.75" x14ac:dyDescent="0.25">
      <c r="A24" s="37" t="s">
        <v>92</v>
      </c>
      <c r="B24" s="37"/>
      <c r="C24" s="37"/>
      <c r="D24" s="28"/>
      <c r="E24" s="33"/>
      <c r="F24" s="33"/>
      <c r="G24" s="33"/>
      <c r="H24" s="33"/>
      <c r="I24" s="33"/>
      <c r="J24" s="33"/>
      <c r="K24" s="33"/>
      <c r="L24" s="33"/>
      <c r="M24" s="33"/>
      <c r="N24" s="28">
        <v>650000</v>
      </c>
      <c r="O24" s="28"/>
      <c r="P24" s="28"/>
      <c r="Q24" s="28"/>
      <c r="R24" s="27">
        <v>1</v>
      </c>
    </row>
    <row r="25" spans="1:18" ht="15.75" x14ac:dyDescent="0.25">
      <c r="A25" s="37" t="s">
        <v>98</v>
      </c>
      <c r="B25" s="37"/>
      <c r="C25" s="37"/>
      <c r="D25" s="28"/>
      <c r="E25" s="33"/>
      <c r="F25" s="33"/>
      <c r="G25" s="33"/>
      <c r="H25" s="33"/>
      <c r="I25" s="33"/>
      <c r="J25" s="33"/>
      <c r="K25" s="33"/>
      <c r="L25" s="33"/>
      <c r="M25" s="33"/>
      <c r="N25" s="28"/>
      <c r="O25" s="28"/>
      <c r="P25" s="28"/>
      <c r="Q25" s="33">
        <v>180000</v>
      </c>
      <c r="R25" s="27">
        <v>2</v>
      </c>
    </row>
    <row r="26" spans="1:18" ht="15.75" x14ac:dyDescent="0.25">
      <c r="A26" s="37" t="s">
        <v>99</v>
      </c>
      <c r="B26" s="37"/>
      <c r="C26" s="37"/>
      <c r="D26" s="28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28"/>
      <c r="Q26" s="33">
        <v>105000</v>
      </c>
      <c r="R26" s="27">
        <v>6</v>
      </c>
    </row>
    <row r="27" spans="1:18" ht="15.75" x14ac:dyDescent="0.25">
      <c r="A27" s="37"/>
      <c r="B27" s="37"/>
      <c r="C27" s="37"/>
      <c r="D27" s="28"/>
      <c r="E27" s="33"/>
      <c r="F27" s="33"/>
      <c r="G27" s="33"/>
      <c r="H27" s="33"/>
      <c r="I27" s="33"/>
      <c r="J27" s="33"/>
      <c r="K27" s="33"/>
      <c r="L27" s="33"/>
      <c r="M27" s="33"/>
      <c r="N27" s="28"/>
      <c r="O27" s="28"/>
      <c r="P27" s="28"/>
      <c r="Q27" s="34"/>
      <c r="R27" s="15"/>
    </row>
    <row r="28" spans="1:18" ht="15.75" x14ac:dyDescent="0.25">
      <c r="A28" s="37"/>
      <c r="B28" s="37"/>
      <c r="C28" s="37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28"/>
      <c r="O28" s="28"/>
      <c r="P28" s="28"/>
      <c r="Q28" s="34"/>
      <c r="R28" s="2"/>
    </row>
    <row r="29" spans="1:18" ht="15.75" x14ac:dyDescent="0.25">
      <c r="A29" s="37"/>
      <c r="B29" s="37"/>
      <c r="C29" s="37"/>
      <c r="D29" s="28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28"/>
      <c r="Q29" s="34"/>
      <c r="R29" s="2"/>
    </row>
    <row r="30" spans="1:18" ht="15.75" x14ac:dyDescent="0.25">
      <c r="A30" s="3" t="s">
        <v>67</v>
      </c>
      <c r="B30" s="3"/>
      <c r="C30" s="3"/>
      <c r="D30" s="35">
        <f>SUM(D4:D16)</f>
        <v>1211776</v>
      </c>
      <c r="E30" s="35">
        <f>SUM(E4:E16)</f>
        <v>924736</v>
      </c>
      <c r="F30" s="35">
        <f>SUM(F4:F17)</f>
        <v>1240614</v>
      </c>
      <c r="G30" s="35">
        <f>SUM(G6:G21)</f>
        <v>778470</v>
      </c>
      <c r="H30" s="35">
        <f>SUM(H6:H21)</f>
        <v>778470</v>
      </c>
      <c r="I30" s="35">
        <f>SUM(I4:I21)</f>
        <v>312161</v>
      </c>
      <c r="J30" s="35">
        <f>SUM(J6:J21)</f>
        <v>2802000</v>
      </c>
      <c r="K30" s="36">
        <f>SUM(K7:K21)</f>
        <v>1119000</v>
      </c>
      <c r="L30" s="36">
        <f>SUM(L7:L21)</f>
        <v>1119000</v>
      </c>
      <c r="M30" s="36">
        <v>884172</v>
      </c>
      <c r="N30" s="35">
        <f>SUM(N4:N29)</f>
        <v>3234000</v>
      </c>
      <c r="O30" s="35">
        <f>SUM(O4:O29)</f>
        <v>1467639</v>
      </c>
      <c r="P30" s="35">
        <f>SUM(P4:P29)</f>
        <v>1467639</v>
      </c>
      <c r="Q30" s="35">
        <f>SUM(Q4:Q29)</f>
        <v>7415000</v>
      </c>
      <c r="R30" s="2"/>
    </row>
    <row r="31" spans="1:18" ht="14.25" x14ac:dyDescent="0.2">
      <c r="A31" s="13"/>
      <c r="B31" s="13"/>
      <c r="C31" s="13"/>
      <c r="D31" s="2"/>
      <c r="E31" s="2"/>
      <c r="F31" s="2"/>
      <c r="G31" s="2"/>
      <c r="H31" s="2"/>
      <c r="I31" s="2"/>
      <c r="J31" s="2"/>
      <c r="K31" s="2"/>
    </row>
    <row r="32" spans="1:18" ht="15" x14ac:dyDescent="0.25">
      <c r="A32" s="16"/>
      <c r="B32" s="17"/>
      <c r="C32" s="17"/>
      <c r="D32" s="2"/>
      <c r="E32" s="2"/>
      <c r="F32" s="2"/>
      <c r="G32" s="2"/>
      <c r="H32" s="2"/>
      <c r="I32" s="2"/>
      <c r="J32" s="2"/>
      <c r="K32" s="2"/>
    </row>
    <row r="33" spans="1:11" ht="15" x14ac:dyDescent="0.25">
      <c r="A33" s="16"/>
      <c r="B33" s="17"/>
      <c r="C33" s="17"/>
      <c r="D33" s="2"/>
      <c r="E33" s="2"/>
      <c r="F33" s="2"/>
      <c r="G33" s="2"/>
      <c r="H33" s="2"/>
      <c r="I33" s="2"/>
      <c r="J33" s="2"/>
      <c r="K33" s="2"/>
    </row>
    <row r="34" spans="1:11" ht="15" x14ac:dyDescent="0.25">
      <c r="A34" s="18"/>
      <c r="B34" s="14"/>
      <c r="C34" s="14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18"/>
      <c r="B35" s="14"/>
      <c r="C35" s="26" t="s">
        <v>97</v>
      </c>
      <c r="D35" s="37"/>
      <c r="E35" s="2"/>
      <c r="F35" s="2"/>
      <c r="G35" s="2"/>
      <c r="H35" s="2"/>
      <c r="I35" s="2"/>
      <c r="J35" s="2"/>
      <c r="K35" s="2"/>
    </row>
    <row r="36" spans="1:11" ht="15.75" x14ac:dyDescent="0.25">
      <c r="A36" s="14"/>
      <c r="B36" s="15"/>
      <c r="C36" s="38"/>
      <c r="D36" s="37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39" t="s">
        <v>52</v>
      </c>
      <c r="D37" s="40">
        <v>300000</v>
      </c>
      <c r="E37" s="2"/>
      <c r="F37" s="2"/>
      <c r="G37" s="2"/>
      <c r="H37" s="2"/>
      <c r="I37" s="2"/>
      <c r="J37" s="2"/>
      <c r="K37" s="2"/>
    </row>
    <row r="38" spans="1:11" ht="15.75" x14ac:dyDescent="0.25">
      <c r="A38" s="14"/>
      <c r="B38" s="19"/>
      <c r="C38" s="41" t="s">
        <v>53</v>
      </c>
      <c r="D38" s="40">
        <v>6720000</v>
      </c>
      <c r="E38" s="2"/>
      <c r="F38" s="2"/>
      <c r="G38" s="2"/>
      <c r="H38" s="2"/>
      <c r="I38" s="2"/>
      <c r="J38" s="2"/>
      <c r="K38" s="2"/>
    </row>
    <row r="39" spans="1:11" ht="15.75" x14ac:dyDescent="0.25">
      <c r="A39" s="14"/>
      <c r="B39" s="19"/>
      <c r="C39" s="41" t="s">
        <v>54</v>
      </c>
      <c r="D39" s="40">
        <v>30000</v>
      </c>
      <c r="E39" s="2"/>
      <c r="F39" s="2"/>
      <c r="G39" s="2"/>
      <c r="H39" s="2"/>
      <c r="I39" s="2"/>
      <c r="J39" s="2"/>
      <c r="K39" s="2"/>
    </row>
    <row r="40" spans="1:11" ht="15.75" x14ac:dyDescent="0.25">
      <c r="A40" s="14"/>
      <c r="B40" s="19"/>
      <c r="C40" s="41" t="s">
        <v>55</v>
      </c>
      <c r="D40" s="40">
        <v>10000</v>
      </c>
      <c r="E40" s="2"/>
      <c r="F40" s="2"/>
      <c r="G40" s="2"/>
      <c r="H40" s="2"/>
      <c r="I40" s="2"/>
      <c r="J40" s="2"/>
      <c r="K40" s="2"/>
    </row>
    <row r="41" spans="1:11" ht="15.75" x14ac:dyDescent="0.25">
      <c r="A41" s="14"/>
      <c r="B41" s="19"/>
      <c r="C41" s="41" t="s">
        <v>83</v>
      </c>
      <c r="D41" s="40">
        <v>250000</v>
      </c>
      <c r="E41" s="2"/>
      <c r="F41" s="2"/>
      <c r="G41" s="2"/>
      <c r="H41" s="2"/>
      <c r="I41" s="2"/>
      <c r="J41" s="2"/>
      <c r="K41" s="2"/>
    </row>
    <row r="42" spans="1:11" ht="15.75" x14ac:dyDescent="0.25">
      <c r="A42" s="14"/>
      <c r="B42" s="19"/>
      <c r="C42" s="41" t="s">
        <v>100</v>
      </c>
      <c r="D42" s="40">
        <v>105000</v>
      </c>
      <c r="E42" s="2"/>
      <c r="F42" s="2"/>
      <c r="G42" s="2"/>
      <c r="H42" s="2"/>
      <c r="I42" s="2"/>
      <c r="J42" s="2"/>
      <c r="K42" s="2"/>
    </row>
    <row r="43" spans="1:11" ht="15.75" x14ac:dyDescent="0.25">
      <c r="A43" s="14"/>
      <c r="B43" s="19"/>
      <c r="C43" s="41" t="s">
        <v>69</v>
      </c>
      <c r="D43" s="42">
        <f>SUM(D37:D42)</f>
        <v>7415000</v>
      </c>
      <c r="E43" s="2"/>
      <c r="F43" s="2"/>
      <c r="G43" s="2"/>
      <c r="H43" s="2"/>
      <c r="I43" s="2"/>
      <c r="J43" s="2"/>
      <c r="K43" s="2"/>
    </row>
    <row r="44" spans="1:11" ht="15.75" x14ac:dyDescent="0.25">
      <c r="A44" s="26"/>
      <c r="B44" s="19"/>
      <c r="C44" s="20"/>
      <c r="D44" s="2"/>
      <c r="E44" s="2"/>
      <c r="F44" s="2"/>
      <c r="G44" s="2"/>
      <c r="H44" s="2"/>
      <c r="I44" s="2"/>
      <c r="J44" s="2"/>
      <c r="K44" s="2"/>
    </row>
    <row r="47" spans="1:11" ht="15" x14ac:dyDescent="0.25">
      <c r="B47" s="14"/>
      <c r="C47" s="2"/>
    </row>
    <row r="48" spans="1:11" ht="14.25" x14ac:dyDescent="0.2">
      <c r="B48" s="2"/>
      <c r="C48" s="2"/>
    </row>
    <row r="49" spans="1:3" ht="15" x14ac:dyDescent="0.25">
      <c r="A49" s="14"/>
      <c r="B49" s="19"/>
      <c r="C49" s="2"/>
    </row>
    <row r="50" spans="1:3" ht="15" x14ac:dyDescent="0.25">
      <c r="A50" s="14"/>
      <c r="B50" s="19"/>
      <c r="C50" s="2"/>
    </row>
    <row r="51" spans="1:3" ht="15" x14ac:dyDescent="0.25">
      <c r="A51" s="14"/>
      <c r="B51" s="19"/>
      <c r="C51" s="2"/>
    </row>
    <row r="52" spans="1:3" ht="15" x14ac:dyDescent="0.25">
      <c r="A52" s="14"/>
      <c r="B52" s="19"/>
      <c r="C52" s="2"/>
    </row>
    <row r="53" spans="1:3" ht="15" x14ac:dyDescent="0.25">
      <c r="A53" s="14"/>
      <c r="B53" s="19"/>
      <c r="C53" s="2"/>
    </row>
    <row r="54" spans="1:3" ht="15" x14ac:dyDescent="0.25">
      <c r="A54" s="14"/>
      <c r="B54" s="19"/>
      <c r="C54" s="2"/>
    </row>
  </sheetData>
  <phoneticPr fontId="0" type="noConversion"/>
  <pageMargins left="0.25" right="0.25" top="1" bottom="0.5" header="0.4" footer="0.5"/>
  <pageSetup scale="64" orientation="landscape" r:id="rId1"/>
  <headerFooter>
    <oddHeader>&amp;L&amp;"Arial,Bold"&amp;14Exhibit A&amp;C&amp;"Arial,Bold"&amp;12City of Florida City
Community Redevlopment Agency
FY 2019-20 Proposed Budget
FY 2019-20 begins October 1,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zoomScaleNormal="100" zoomScaleSheetLayoutView="75" zoomScalePageLayoutView="75" workbookViewId="0">
      <pane xSplit="3" ySplit="7" topLeftCell="K38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R47" sqref="R47"/>
    </sheetView>
  </sheetViews>
  <sheetFormatPr defaultRowHeight="12.75" x14ac:dyDescent="0.2"/>
  <cols>
    <col min="1" max="1" width="19.5703125" customWidth="1"/>
    <col min="2" max="2" width="13.5703125" customWidth="1"/>
    <col min="3" max="3" width="12.7109375" customWidth="1"/>
    <col min="4" max="5" width="11.85546875" customWidth="1"/>
    <col min="6" max="8" width="11.85546875" hidden="1" customWidth="1"/>
    <col min="9" max="10" width="11.85546875" customWidth="1"/>
    <col min="11" max="11" width="13.85546875" customWidth="1"/>
    <col min="12" max="13" width="14.140625" customWidth="1"/>
    <col min="14" max="17" width="15.85546875" customWidth="1"/>
    <col min="18" max="20" width="14.85546875" customWidth="1"/>
  </cols>
  <sheetData>
    <row r="1" spans="1:21" ht="18" x14ac:dyDescent="0.25">
      <c r="A1" s="25" t="s">
        <v>86</v>
      </c>
      <c r="B1" s="21"/>
      <c r="C1" s="2"/>
      <c r="E1" s="2"/>
      <c r="F1" s="2"/>
      <c r="G1" s="2"/>
      <c r="H1" s="22" t="s">
        <v>42</v>
      </c>
      <c r="I1" s="2"/>
      <c r="J1" s="2"/>
      <c r="K1" s="2"/>
    </row>
    <row r="2" spans="1:21" ht="15" x14ac:dyDescent="0.25">
      <c r="A2" s="21"/>
      <c r="B2" s="21"/>
      <c r="C2" s="2"/>
      <c r="E2" s="2"/>
      <c r="F2" s="2"/>
      <c r="G2" s="2"/>
      <c r="H2" s="22" t="s">
        <v>43</v>
      </c>
      <c r="I2" s="2"/>
      <c r="J2" s="2"/>
      <c r="K2" s="2"/>
    </row>
    <row r="3" spans="1:21" ht="15" x14ac:dyDescent="0.25">
      <c r="A3" s="14"/>
      <c r="B3" s="14"/>
      <c r="C3" s="2"/>
      <c r="E3" s="2"/>
      <c r="F3" s="2"/>
      <c r="G3" s="2"/>
      <c r="H3" s="22" t="s">
        <v>87</v>
      </c>
      <c r="I3" s="2"/>
      <c r="J3" s="2"/>
      <c r="K3" s="2"/>
    </row>
    <row r="4" spans="1:21" ht="14.25" x14ac:dyDescent="0.2">
      <c r="A4" s="2"/>
      <c r="B4" s="2"/>
      <c r="C4" s="2"/>
      <c r="E4" s="2"/>
      <c r="F4" s="2"/>
      <c r="G4" s="2"/>
      <c r="H4" s="23" t="s">
        <v>88</v>
      </c>
      <c r="I4" s="2"/>
      <c r="J4" s="2"/>
      <c r="K4" s="2"/>
    </row>
    <row r="5" spans="1:21" ht="15.75" x14ac:dyDescent="0.25">
      <c r="A5" s="54"/>
      <c r="B5" s="54"/>
      <c r="C5" s="55"/>
      <c r="D5" s="44" t="s">
        <v>71</v>
      </c>
      <c r="E5" s="44" t="s">
        <v>74</v>
      </c>
      <c r="F5" s="44" t="s">
        <v>75</v>
      </c>
      <c r="G5" s="44" t="s">
        <v>75</v>
      </c>
      <c r="H5" s="44" t="s">
        <v>75</v>
      </c>
      <c r="I5" s="44" t="s">
        <v>75</v>
      </c>
      <c r="J5" s="44" t="s">
        <v>78</v>
      </c>
      <c r="K5" s="56" t="s">
        <v>78</v>
      </c>
      <c r="L5" s="44" t="s">
        <v>78</v>
      </c>
      <c r="M5" s="44" t="s">
        <v>78</v>
      </c>
      <c r="N5" s="44" t="s">
        <v>89</v>
      </c>
      <c r="O5" s="44" t="s">
        <v>89</v>
      </c>
      <c r="P5" s="104" t="s">
        <v>89</v>
      </c>
      <c r="Q5" s="44" t="s">
        <v>89</v>
      </c>
      <c r="R5" s="44" t="s">
        <v>101</v>
      </c>
      <c r="S5" s="44" t="s">
        <v>101</v>
      </c>
      <c r="T5" s="44" t="s">
        <v>106</v>
      </c>
      <c r="U5" s="37"/>
    </row>
    <row r="6" spans="1:21" ht="15.75" x14ac:dyDescent="0.25">
      <c r="A6" s="54"/>
      <c r="B6" s="54"/>
      <c r="C6" s="55"/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57" t="s">
        <v>0</v>
      </c>
      <c r="L6" s="48" t="s">
        <v>0</v>
      </c>
      <c r="M6" s="48" t="s">
        <v>0</v>
      </c>
      <c r="N6" s="48" t="s">
        <v>0</v>
      </c>
      <c r="O6" s="48" t="s">
        <v>0</v>
      </c>
      <c r="P6" s="105" t="s">
        <v>0</v>
      </c>
      <c r="Q6" s="48" t="s">
        <v>0</v>
      </c>
      <c r="R6" s="48" t="s">
        <v>0</v>
      </c>
      <c r="S6" s="48" t="s">
        <v>0</v>
      </c>
      <c r="T6" s="48" t="s">
        <v>0</v>
      </c>
      <c r="U6" s="37"/>
    </row>
    <row r="7" spans="1:21" ht="15.75" x14ac:dyDescent="0.25">
      <c r="A7" s="54" t="s">
        <v>9</v>
      </c>
      <c r="B7" s="54"/>
      <c r="C7" s="55"/>
      <c r="D7" s="51" t="s">
        <v>1</v>
      </c>
      <c r="E7" s="51" t="s">
        <v>1</v>
      </c>
      <c r="F7" s="51" t="s">
        <v>3</v>
      </c>
      <c r="G7" s="51" t="s">
        <v>73</v>
      </c>
      <c r="H7" s="51" t="s">
        <v>85</v>
      </c>
      <c r="I7" s="51" t="s">
        <v>1</v>
      </c>
      <c r="J7" s="51" t="s">
        <v>3</v>
      </c>
      <c r="K7" s="58" t="s">
        <v>73</v>
      </c>
      <c r="L7" s="51" t="s">
        <v>85</v>
      </c>
      <c r="M7" s="51" t="s">
        <v>1</v>
      </c>
      <c r="N7" s="51" t="s">
        <v>3</v>
      </c>
      <c r="O7" s="51" t="s">
        <v>73</v>
      </c>
      <c r="P7" s="112" t="s">
        <v>85</v>
      </c>
      <c r="Q7" s="51" t="s">
        <v>1</v>
      </c>
      <c r="R7" s="51" t="s">
        <v>96</v>
      </c>
      <c r="S7" s="51" t="s">
        <v>85</v>
      </c>
      <c r="T7" s="51" t="s">
        <v>96</v>
      </c>
      <c r="U7" s="37"/>
    </row>
    <row r="8" spans="1:21" ht="15" x14ac:dyDescent="0.2">
      <c r="A8" s="37" t="s">
        <v>6</v>
      </c>
      <c r="B8" s="37"/>
      <c r="C8" s="37"/>
      <c r="D8" s="59">
        <v>969326</v>
      </c>
      <c r="E8" s="60">
        <v>1012003</v>
      </c>
      <c r="F8" s="59">
        <v>1142072</v>
      </c>
      <c r="G8" s="59">
        <v>1142072</v>
      </c>
      <c r="H8" s="59">
        <v>1142072</v>
      </c>
      <c r="I8" s="60">
        <v>1142072</v>
      </c>
      <c r="J8" s="60">
        <v>1108901</v>
      </c>
      <c r="K8" s="28">
        <v>1108901</v>
      </c>
      <c r="L8" s="28">
        <v>1108901</v>
      </c>
      <c r="M8" s="28">
        <v>1108901</v>
      </c>
      <c r="N8" s="28">
        <v>1222832</v>
      </c>
      <c r="O8" s="28">
        <v>1222832</v>
      </c>
      <c r="P8" s="106">
        <v>1222832</v>
      </c>
      <c r="Q8" s="28">
        <v>1222832</v>
      </c>
      <c r="R8" s="28">
        <v>1325116</v>
      </c>
      <c r="S8" s="28">
        <v>1325116</v>
      </c>
      <c r="T8" s="28">
        <v>1371650</v>
      </c>
      <c r="U8" s="37"/>
    </row>
    <row r="9" spans="1:21" ht="15" x14ac:dyDescent="0.2">
      <c r="A9" s="37" t="s">
        <v>7</v>
      </c>
      <c r="B9" s="37"/>
      <c r="C9" s="37"/>
      <c r="D9" s="59">
        <v>596022</v>
      </c>
      <c r="E9" s="59">
        <v>662824</v>
      </c>
      <c r="F9" s="59">
        <v>741746</v>
      </c>
      <c r="G9" s="59">
        <v>741746</v>
      </c>
      <c r="H9" s="59">
        <v>741746</v>
      </c>
      <c r="I9" s="59">
        <v>741746</v>
      </c>
      <c r="J9" s="59">
        <v>720188</v>
      </c>
      <c r="K9" s="28">
        <v>720188</v>
      </c>
      <c r="L9" s="28">
        <v>720188</v>
      </c>
      <c r="M9" s="28">
        <v>720188</v>
      </c>
      <c r="N9" s="28">
        <v>794181</v>
      </c>
      <c r="O9" s="28">
        <v>794181</v>
      </c>
      <c r="P9" s="106">
        <v>794181</v>
      </c>
      <c r="Q9" s="28">
        <v>794181</v>
      </c>
      <c r="R9" s="28">
        <v>860612</v>
      </c>
      <c r="S9" s="28">
        <v>860612</v>
      </c>
      <c r="T9" s="28">
        <v>890834</v>
      </c>
      <c r="U9" s="37"/>
    </row>
    <row r="10" spans="1:21" ht="15.75" x14ac:dyDescent="0.25">
      <c r="A10" s="37" t="s">
        <v>4</v>
      </c>
      <c r="B10" s="37"/>
      <c r="C10" s="37"/>
      <c r="D10" s="59">
        <v>1450823</v>
      </c>
      <c r="E10" s="59">
        <v>1319621</v>
      </c>
      <c r="F10" s="59">
        <v>673468</v>
      </c>
      <c r="G10" s="59">
        <v>1603642</v>
      </c>
      <c r="H10" s="59">
        <v>1603642</v>
      </c>
      <c r="I10" s="118">
        <f>E63</f>
        <v>1603693</v>
      </c>
      <c r="J10" s="59">
        <v>2029327</v>
      </c>
      <c r="K10" s="28">
        <v>3124878</v>
      </c>
      <c r="L10" s="28">
        <v>3124878</v>
      </c>
      <c r="M10" s="119">
        <f>I63</f>
        <v>2369999</v>
      </c>
      <c r="N10" s="28">
        <v>3404483</v>
      </c>
      <c r="O10" s="28">
        <v>3618395</v>
      </c>
      <c r="P10" s="106">
        <v>3618395</v>
      </c>
      <c r="Q10" s="28">
        <f>M63</f>
        <v>2612348</v>
      </c>
      <c r="R10" s="110">
        <v>3642925</v>
      </c>
      <c r="S10" s="28">
        <f>Q63</f>
        <v>2696882</v>
      </c>
      <c r="T10" s="110">
        <f>S63</f>
        <v>4002677</v>
      </c>
      <c r="U10" s="37"/>
    </row>
    <row r="11" spans="1:21" ht="15" x14ac:dyDescent="0.2">
      <c r="A11" s="37" t="s">
        <v>26</v>
      </c>
      <c r="B11" s="37"/>
      <c r="C11" s="37"/>
      <c r="D11" s="61"/>
      <c r="E11" s="61">
        <v>24878</v>
      </c>
      <c r="F11" s="61"/>
      <c r="G11" s="61">
        <v>164000</v>
      </c>
      <c r="H11" s="61">
        <v>164000</v>
      </c>
      <c r="I11" s="61">
        <v>6160</v>
      </c>
      <c r="J11" s="61">
        <v>100000</v>
      </c>
      <c r="K11" s="28">
        <v>210000</v>
      </c>
      <c r="L11" s="28">
        <v>210000</v>
      </c>
      <c r="M11" s="28">
        <v>3421</v>
      </c>
      <c r="N11" s="28">
        <v>400000</v>
      </c>
      <c r="O11" s="28">
        <v>10000</v>
      </c>
      <c r="P11" s="106">
        <v>10000</v>
      </c>
      <c r="Q11" s="28">
        <v>0</v>
      </c>
      <c r="R11" s="28">
        <v>153000</v>
      </c>
      <c r="S11" s="28"/>
      <c r="T11" s="28"/>
      <c r="U11" s="37"/>
    </row>
    <row r="12" spans="1:21" ht="15" x14ac:dyDescent="0.2">
      <c r="A12" s="37" t="s">
        <v>95</v>
      </c>
      <c r="B12" s="37"/>
      <c r="C12" s="37"/>
      <c r="D12" s="61"/>
      <c r="E12" s="61"/>
      <c r="F12" s="61"/>
      <c r="G12" s="61"/>
      <c r="H12" s="61"/>
      <c r="I12" s="61"/>
      <c r="J12" s="61"/>
      <c r="K12" s="28"/>
      <c r="L12" s="28"/>
      <c r="M12" s="28">
        <v>161370</v>
      </c>
      <c r="N12" s="28"/>
      <c r="O12" s="28">
        <v>250000</v>
      </c>
      <c r="P12" s="106">
        <v>250000</v>
      </c>
      <c r="Q12" s="28">
        <v>137487</v>
      </c>
      <c r="R12" s="28">
        <v>2512000</v>
      </c>
      <c r="S12" s="28">
        <v>84738</v>
      </c>
      <c r="T12" s="28">
        <v>2400000</v>
      </c>
      <c r="U12" s="37"/>
    </row>
    <row r="13" spans="1:21" ht="15" x14ac:dyDescent="0.2">
      <c r="A13" s="37" t="s">
        <v>68</v>
      </c>
      <c r="B13" s="37"/>
      <c r="C13" s="37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106"/>
      <c r="Q13" s="28"/>
      <c r="R13" s="28"/>
      <c r="S13" s="28"/>
      <c r="T13" s="28"/>
      <c r="U13" s="37"/>
    </row>
    <row r="14" spans="1:21" ht="15" x14ac:dyDescent="0.2">
      <c r="A14" s="37" t="s">
        <v>5</v>
      </c>
      <c r="B14" s="37"/>
      <c r="C14" s="37"/>
      <c r="D14" s="61">
        <v>10074</v>
      </c>
      <c r="E14" s="61">
        <v>1260</v>
      </c>
      <c r="F14" s="61">
        <v>5000</v>
      </c>
      <c r="G14" s="61">
        <v>9000</v>
      </c>
      <c r="H14" s="61">
        <v>9000</v>
      </c>
      <c r="I14" s="61">
        <v>11600</v>
      </c>
      <c r="J14" s="61">
        <v>8000</v>
      </c>
      <c r="K14" s="28">
        <v>15000</v>
      </c>
      <c r="L14" s="28">
        <v>15000</v>
      </c>
      <c r="M14" s="28">
        <v>15340</v>
      </c>
      <c r="N14" s="28">
        <v>20000</v>
      </c>
      <c r="O14" s="28">
        <v>18000</v>
      </c>
      <c r="P14" s="106">
        <v>18000</v>
      </c>
      <c r="Q14" s="28">
        <v>23409</v>
      </c>
      <c r="R14" s="28">
        <v>18000</v>
      </c>
      <c r="S14" s="28">
        <v>36884</v>
      </c>
      <c r="T14" s="28">
        <v>30000</v>
      </c>
      <c r="U14" s="37"/>
    </row>
    <row r="15" spans="1:21" ht="15.75" x14ac:dyDescent="0.25">
      <c r="A15" s="62" t="s">
        <v>25</v>
      </c>
      <c r="B15" s="62"/>
      <c r="C15" s="63"/>
      <c r="D15" s="64">
        <f t="shared" ref="D15:N15" si="0">SUM(D8:D14)</f>
        <v>3026245</v>
      </c>
      <c r="E15" s="64">
        <f t="shared" si="0"/>
        <v>3020586</v>
      </c>
      <c r="F15" s="64">
        <f t="shared" si="0"/>
        <v>2562286</v>
      </c>
      <c r="G15" s="65">
        <f t="shared" si="0"/>
        <v>3660460</v>
      </c>
      <c r="H15" s="65">
        <f t="shared" si="0"/>
        <v>3660460</v>
      </c>
      <c r="I15" s="117">
        <f t="shared" si="0"/>
        <v>3505271</v>
      </c>
      <c r="J15" s="64">
        <f t="shared" si="0"/>
        <v>3966416</v>
      </c>
      <c r="K15" s="66">
        <f t="shared" si="0"/>
        <v>5178967</v>
      </c>
      <c r="L15" s="66">
        <f t="shared" si="0"/>
        <v>5178967</v>
      </c>
      <c r="M15" s="120">
        <f>SUM(M8:M14)</f>
        <v>4379219</v>
      </c>
      <c r="N15" s="66">
        <f t="shared" si="0"/>
        <v>5841496</v>
      </c>
      <c r="O15" s="66">
        <f t="shared" ref="O15:T15" si="1">SUM(O8:O14)</f>
        <v>5913408</v>
      </c>
      <c r="P15" s="107">
        <f t="shared" si="1"/>
        <v>5913408</v>
      </c>
      <c r="Q15" s="66">
        <f t="shared" si="1"/>
        <v>4790257</v>
      </c>
      <c r="R15" s="66">
        <f t="shared" si="1"/>
        <v>8511653</v>
      </c>
      <c r="S15" s="66">
        <f t="shared" si="1"/>
        <v>5004232</v>
      </c>
      <c r="T15" s="66">
        <f t="shared" si="1"/>
        <v>8695161</v>
      </c>
      <c r="U15" s="37"/>
    </row>
    <row r="16" spans="1:21" ht="15.75" x14ac:dyDescent="0.25">
      <c r="A16" s="67" t="s">
        <v>10</v>
      </c>
      <c r="B16" s="67"/>
      <c r="C16" s="68"/>
      <c r="D16" s="69"/>
      <c r="E16" s="69"/>
      <c r="F16" s="70"/>
      <c r="G16" s="69"/>
      <c r="H16" s="69"/>
      <c r="I16" s="69"/>
      <c r="J16" s="69"/>
      <c r="K16" s="71"/>
      <c r="L16" s="71"/>
      <c r="M16" s="71"/>
      <c r="N16" s="71"/>
      <c r="O16" s="71"/>
      <c r="P16" s="108"/>
      <c r="Q16" s="71"/>
      <c r="R16" s="71"/>
      <c r="S16" s="71"/>
      <c r="T16" s="71"/>
      <c r="U16" s="37"/>
    </row>
    <row r="17" spans="1:21" ht="15.75" x14ac:dyDescent="0.25">
      <c r="A17" s="72" t="s">
        <v>11</v>
      </c>
      <c r="B17" s="67"/>
      <c r="C17" s="68"/>
      <c r="D17" s="73"/>
      <c r="E17" s="73"/>
      <c r="F17" s="74"/>
      <c r="G17" s="73"/>
      <c r="H17" s="73"/>
      <c r="I17" s="73"/>
      <c r="J17" s="73"/>
      <c r="K17" s="75"/>
      <c r="L17" s="75"/>
      <c r="M17" s="75"/>
      <c r="N17" s="75"/>
      <c r="O17" s="75"/>
      <c r="P17" s="109"/>
      <c r="Q17" s="75"/>
      <c r="R17" s="75"/>
      <c r="S17" s="75"/>
      <c r="T17" s="75"/>
      <c r="U17" s="37"/>
    </row>
    <row r="18" spans="1:21" ht="15" x14ac:dyDescent="0.2">
      <c r="A18" s="37" t="s">
        <v>58</v>
      </c>
      <c r="B18" s="37"/>
      <c r="C18" s="37"/>
      <c r="D18" s="76">
        <v>77657</v>
      </c>
      <c r="E18" s="61">
        <v>76475</v>
      </c>
      <c r="F18" s="61">
        <v>83161</v>
      </c>
      <c r="G18" s="77">
        <v>83969</v>
      </c>
      <c r="H18" s="77">
        <v>83969</v>
      </c>
      <c r="I18" s="77">
        <v>81414</v>
      </c>
      <c r="J18" s="61">
        <v>86488</v>
      </c>
      <c r="K18" s="28">
        <v>86488</v>
      </c>
      <c r="L18" s="28">
        <v>86488</v>
      </c>
      <c r="M18" s="28">
        <v>79235</v>
      </c>
      <c r="N18" s="28">
        <v>89906</v>
      </c>
      <c r="O18" s="28">
        <v>83906</v>
      </c>
      <c r="P18" s="106">
        <v>83906</v>
      </c>
      <c r="Q18" s="28">
        <v>74417.670187737531</v>
      </c>
      <c r="R18" s="28">
        <v>94401</v>
      </c>
      <c r="S18" s="28">
        <f>110342*(R18/(R18+R19))</f>
        <v>83277.197512012222</v>
      </c>
      <c r="T18" s="28">
        <v>84000</v>
      </c>
      <c r="U18" s="37"/>
    </row>
    <row r="19" spans="1:21" ht="15" x14ac:dyDescent="0.2">
      <c r="A19" s="37" t="s">
        <v>60</v>
      </c>
      <c r="B19" s="37"/>
      <c r="C19" s="37"/>
      <c r="D19" s="76">
        <v>25231</v>
      </c>
      <c r="E19" s="61">
        <v>21872</v>
      </c>
      <c r="F19" s="61">
        <v>27019</v>
      </c>
      <c r="G19" s="61">
        <v>24015</v>
      </c>
      <c r="H19" s="61">
        <v>24015</v>
      </c>
      <c r="I19" s="61">
        <v>23285</v>
      </c>
      <c r="J19" s="61">
        <f>+(J18*0.3249)</f>
        <v>28099.951200000003</v>
      </c>
      <c r="K19" s="28">
        <v>26162</v>
      </c>
      <c r="L19" s="28">
        <v>26162</v>
      </c>
      <c r="M19" s="28">
        <v>25752</v>
      </c>
      <c r="N19" s="28">
        <v>27197</v>
      </c>
      <c r="O19" s="28">
        <v>27269</v>
      </c>
      <c r="P19" s="106">
        <v>27269</v>
      </c>
      <c r="Q19" s="28">
        <v>24186.329812262469</v>
      </c>
      <c r="R19" s="28">
        <v>30680</v>
      </c>
      <c r="S19" s="28">
        <f>110342*(R19/(R19+R18))</f>
        <v>27064.802487987785</v>
      </c>
      <c r="T19" s="28">
        <v>27500</v>
      </c>
      <c r="U19" s="37"/>
    </row>
    <row r="20" spans="1:21" ht="15" x14ac:dyDescent="0.2">
      <c r="A20" s="37" t="s">
        <v>12</v>
      </c>
      <c r="B20" s="37"/>
      <c r="C20" s="37"/>
      <c r="D20" s="78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106"/>
      <c r="Q20" s="28"/>
      <c r="R20" s="28"/>
      <c r="S20" s="28"/>
      <c r="T20" s="28"/>
      <c r="U20" s="37"/>
    </row>
    <row r="21" spans="1:21" ht="15" x14ac:dyDescent="0.2">
      <c r="A21" s="37" t="s">
        <v>13</v>
      </c>
      <c r="B21" s="37"/>
      <c r="C21" s="37"/>
      <c r="D21" s="78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106"/>
      <c r="Q21" s="28"/>
      <c r="R21" s="28"/>
      <c r="S21" s="28"/>
      <c r="T21" s="28"/>
      <c r="U21" s="37"/>
    </row>
    <row r="22" spans="1:21" ht="15" x14ac:dyDescent="0.2">
      <c r="A22" s="37" t="s">
        <v>65</v>
      </c>
      <c r="B22" s="37"/>
      <c r="C22" s="37"/>
      <c r="D22" s="76">
        <v>109583</v>
      </c>
      <c r="E22" s="61">
        <v>118802</v>
      </c>
      <c r="F22" s="61">
        <v>131878</v>
      </c>
      <c r="G22" s="61">
        <v>131878</v>
      </c>
      <c r="H22" s="61">
        <v>131878</v>
      </c>
      <c r="I22" s="61">
        <v>131878</v>
      </c>
      <c r="J22" s="61">
        <v>128047</v>
      </c>
      <c r="K22" s="28">
        <v>128047</v>
      </c>
      <c r="L22" s="28">
        <v>128047</v>
      </c>
      <c r="M22" s="28">
        <v>128047</v>
      </c>
      <c r="N22" s="28">
        <v>141202</v>
      </c>
      <c r="O22" s="28">
        <v>141202</v>
      </c>
      <c r="P22" s="106">
        <v>141202</v>
      </c>
      <c r="Q22" s="28">
        <v>141202</v>
      </c>
      <c r="R22" s="28">
        <v>153013</v>
      </c>
      <c r="S22" s="28">
        <v>153013</v>
      </c>
      <c r="T22" s="28">
        <v>158374</v>
      </c>
      <c r="U22" s="37"/>
    </row>
    <row r="23" spans="1:21" ht="15" x14ac:dyDescent="0.2">
      <c r="A23" s="37" t="s">
        <v>47</v>
      </c>
      <c r="B23" s="37"/>
      <c r="C23" s="37"/>
      <c r="D23" s="78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106"/>
      <c r="Q23" s="28"/>
      <c r="R23" s="28"/>
      <c r="S23" s="28"/>
      <c r="T23" s="28"/>
      <c r="U23" s="37"/>
    </row>
    <row r="24" spans="1:21" ht="15" x14ac:dyDescent="0.2">
      <c r="A24" s="37" t="s">
        <v>15</v>
      </c>
      <c r="B24" s="37"/>
      <c r="C24" s="37"/>
      <c r="D24" s="7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106"/>
      <c r="Q24" s="28"/>
      <c r="R24" s="28"/>
      <c r="S24" s="28"/>
      <c r="T24" s="28"/>
      <c r="U24" s="37"/>
    </row>
    <row r="25" spans="1:21" ht="15" x14ac:dyDescent="0.2">
      <c r="A25" s="37" t="s">
        <v>16</v>
      </c>
      <c r="B25" s="37"/>
      <c r="C25" s="37"/>
      <c r="D25" s="78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106"/>
      <c r="Q25" s="28"/>
      <c r="R25" s="28"/>
      <c r="S25" s="28"/>
      <c r="T25" s="28"/>
      <c r="U25" s="37"/>
    </row>
    <row r="26" spans="1:21" ht="15" x14ac:dyDescent="0.2">
      <c r="A26" s="37" t="s">
        <v>19</v>
      </c>
      <c r="B26" s="37"/>
      <c r="C26" s="37"/>
      <c r="D26" s="79">
        <v>570</v>
      </c>
      <c r="E26" s="80">
        <v>2533</v>
      </c>
      <c r="F26" s="80">
        <v>3000</v>
      </c>
      <c r="G26" s="80">
        <v>3000</v>
      </c>
      <c r="H26" s="80">
        <v>3000</v>
      </c>
      <c r="I26" s="80">
        <v>3142</v>
      </c>
      <c r="J26" s="80">
        <v>3000</v>
      </c>
      <c r="K26" s="28">
        <v>3000</v>
      </c>
      <c r="L26" s="28">
        <v>3000</v>
      </c>
      <c r="M26" s="28">
        <v>1574</v>
      </c>
      <c r="N26" s="28">
        <v>3000</v>
      </c>
      <c r="O26" s="28">
        <v>3000</v>
      </c>
      <c r="P26" s="106">
        <v>3000</v>
      </c>
      <c r="Q26" s="28">
        <v>2123</v>
      </c>
      <c r="R26" s="28">
        <v>3000</v>
      </c>
      <c r="S26" s="28">
        <v>5874</v>
      </c>
      <c r="T26" s="28">
        <v>7500</v>
      </c>
      <c r="U26" s="37"/>
    </row>
    <row r="27" spans="1:21" ht="15" x14ac:dyDescent="0.2">
      <c r="A27" s="37" t="s">
        <v>36</v>
      </c>
      <c r="B27" s="37"/>
      <c r="C27" s="37"/>
      <c r="D27" s="76">
        <v>5856</v>
      </c>
      <c r="E27" s="61">
        <v>7772</v>
      </c>
      <c r="F27" s="61">
        <v>8000</v>
      </c>
      <c r="G27" s="61">
        <v>8000</v>
      </c>
      <c r="H27" s="61">
        <v>8000</v>
      </c>
      <c r="I27" s="61">
        <v>4715</v>
      </c>
      <c r="J27" s="61">
        <v>8000</v>
      </c>
      <c r="K27" s="28">
        <v>5000</v>
      </c>
      <c r="L27" s="28">
        <v>5000</v>
      </c>
      <c r="M27" s="28">
        <v>4570</v>
      </c>
      <c r="N27" s="28">
        <v>5000</v>
      </c>
      <c r="O27" s="28">
        <v>5000</v>
      </c>
      <c r="P27" s="106">
        <v>5000</v>
      </c>
      <c r="Q27" s="28">
        <v>5470</v>
      </c>
      <c r="R27" s="28">
        <v>5000</v>
      </c>
      <c r="S27" s="28">
        <v>1299</v>
      </c>
      <c r="T27" s="28">
        <v>6000</v>
      </c>
      <c r="U27" s="37"/>
    </row>
    <row r="28" spans="1:21" ht="15" x14ac:dyDescent="0.2">
      <c r="A28" s="37" t="s">
        <v>66</v>
      </c>
      <c r="B28" s="37"/>
      <c r="C28" s="37"/>
      <c r="D28" s="76"/>
      <c r="E28" s="61"/>
      <c r="F28" s="61">
        <v>3000</v>
      </c>
      <c r="G28" s="61"/>
      <c r="H28" s="61"/>
      <c r="I28" s="61"/>
      <c r="J28" s="61">
        <v>3000</v>
      </c>
      <c r="K28" s="28"/>
      <c r="L28" s="28"/>
      <c r="M28" s="28"/>
      <c r="N28" s="28"/>
      <c r="O28" s="28"/>
      <c r="P28" s="106"/>
      <c r="Q28" s="28"/>
      <c r="R28" s="28"/>
      <c r="S28" s="28"/>
      <c r="T28" s="28">
        <v>3500</v>
      </c>
      <c r="U28" s="37"/>
    </row>
    <row r="29" spans="1:21" ht="15" x14ac:dyDescent="0.2">
      <c r="A29" s="37" t="s">
        <v>20</v>
      </c>
      <c r="B29" s="37"/>
      <c r="C29" s="37"/>
      <c r="D29" s="78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106"/>
      <c r="Q29" s="28"/>
      <c r="R29" s="28"/>
      <c r="S29" s="28"/>
      <c r="T29" s="28"/>
      <c r="U29" s="37"/>
    </row>
    <row r="30" spans="1:21" ht="15" x14ac:dyDescent="0.2">
      <c r="A30" s="37" t="s">
        <v>37</v>
      </c>
      <c r="B30" s="37"/>
      <c r="C30" s="37"/>
      <c r="D30" s="78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106"/>
      <c r="Q30" s="28"/>
      <c r="R30" s="28"/>
      <c r="S30" s="28"/>
      <c r="T30" s="28"/>
      <c r="U30" s="37"/>
    </row>
    <row r="31" spans="1:21" ht="15" x14ac:dyDescent="0.2">
      <c r="A31" s="37" t="s">
        <v>21</v>
      </c>
      <c r="B31" s="37"/>
      <c r="C31" s="37"/>
      <c r="D31" s="78"/>
      <c r="E31" s="29"/>
      <c r="F31" s="29">
        <v>3000</v>
      </c>
      <c r="G31" s="29"/>
      <c r="H31" s="29"/>
      <c r="I31" s="29"/>
      <c r="J31" s="29">
        <v>3000</v>
      </c>
      <c r="K31" s="28"/>
      <c r="L31" s="28"/>
      <c r="M31" s="28"/>
      <c r="N31" s="28">
        <v>3000</v>
      </c>
      <c r="O31" s="28">
        <v>1000</v>
      </c>
      <c r="P31" s="106">
        <v>1000</v>
      </c>
      <c r="Q31" s="28">
        <v>50</v>
      </c>
      <c r="R31" s="28">
        <v>1000</v>
      </c>
      <c r="S31" s="28">
        <v>364</v>
      </c>
      <c r="T31" s="28">
        <v>1000</v>
      </c>
      <c r="U31" s="37"/>
    </row>
    <row r="32" spans="1:21" ht="15" x14ac:dyDescent="0.2">
      <c r="A32" s="37" t="s">
        <v>81</v>
      </c>
      <c r="B32" s="37"/>
      <c r="C32" s="37"/>
      <c r="D32" s="78">
        <v>2127</v>
      </c>
      <c r="E32" s="29">
        <v>499</v>
      </c>
      <c r="F32" s="29">
        <v>1000</v>
      </c>
      <c r="G32" s="29">
        <v>6000</v>
      </c>
      <c r="H32" s="29">
        <v>6000</v>
      </c>
      <c r="I32" s="116">
        <v>775</v>
      </c>
      <c r="J32" s="29">
        <v>2000</v>
      </c>
      <c r="K32" s="28">
        <v>500</v>
      </c>
      <c r="L32" s="28">
        <v>500</v>
      </c>
      <c r="M32" s="28">
        <v>1187</v>
      </c>
      <c r="N32" s="28">
        <v>1000</v>
      </c>
      <c r="O32" s="28">
        <v>1000</v>
      </c>
      <c r="P32" s="106">
        <v>1000</v>
      </c>
      <c r="Q32" s="28">
        <v>1419</v>
      </c>
      <c r="R32" s="28">
        <v>1200</v>
      </c>
      <c r="S32" s="28">
        <v>1881</v>
      </c>
      <c r="T32" s="28">
        <v>12000</v>
      </c>
      <c r="U32" s="37"/>
    </row>
    <row r="33" spans="1:21" ht="15.75" x14ac:dyDescent="0.25">
      <c r="A33" s="26" t="s">
        <v>30</v>
      </c>
      <c r="B33" s="37"/>
      <c r="C33" s="37"/>
      <c r="D33" s="81">
        <f t="shared" ref="D33:G33" si="2">SUM(D18:D32)</f>
        <v>221024</v>
      </c>
      <c r="E33" s="82">
        <f t="shared" ref="E33" si="3">SUM(E18:E32)</f>
        <v>227953</v>
      </c>
      <c r="F33" s="82">
        <f t="shared" si="2"/>
        <v>260058</v>
      </c>
      <c r="G33" s="82">
        <f t="shared" si="2"/>
        <v>256862</v>
      </c>
      <c r="H33" s="82">
        <f t="shared" ref="H33:S33" si="4">SUM(H18:H32)</f>
        <v>256862</v>
      </c>
      <c r="I33" s="82">
        <f t="shared" si="4"/>
        <v>245209</v>
      </c>
      <c r="J33" s="82">
        <f t="shared" si="4"/>
        <v>261634.95120000001</v>
      </c>
      <c r="K33" s="83">
        <f t="shared" si="4"/>
        <v>249197</v>
      </c>
      <c r="L33" s="83">
        <f t="shared" si="4"/>
        <v>249197</v>
      </c>
      <c r="M33" s="83">
        <f t="shared" si="4"/>
        <v>240365</v>
      </c>
      <c r="N33" s="66">
        <f t="shared" si="4"/>
        <v>270305</v>
      </c>
      <c r="O33" s="66">
        <f t="shared" si="4"/>
        <v>262377</v>
      </c>
      <c r="P33" s="107">
        <f t="shared" ref="P33" si="5">SUM(P18:P32)</f>
        <v>262377</v>
      </c>
      <c r="Q33" s="66">
        <f t="shared" si="4"/>
        <v>248868</v>
      </c>
      <c r="R33" s="66">
        <f t="shared" ref="R33:T33" si="6">SUM(R18:R32)</f>
        <v>288294</v>
      </c>
      <c r="S33" s="66">
        <f t="shared" si="4"/>
        <v>272773</v>
      </c>
      <c r="T33" s="66">
        <f t="shared" si="6"/>
        <v>299874</v>
      </c>
      <c r="U33" s="84">
        <f>S33/(S8+S9)</f>
        <v>0.12479732153314593</v>
      </c>
    </row>
    <row r="34" spans="1:21" ht="15.75" x14ac:dyDescent="0.25">
      <c r="A34" s="37" t="s">
        <v>32</v>
      </c>
      <c r="B34" s="37"/>
      <c r="C34" s="37"/>
      <c r="D34" s="85">
        <v>8940</v>
      </c>
      <c r="E34" s="86">
        <v>9942</v>
      </c>
      <c r="F34" s="86">
        <f>F9*0.015</f>
        <v>11126.189999999999</v>
      </c>
      <c r="G34" s="86">
        <v>11126</v>
      </c>
      <c r="H34" s="86">
        <v>11126</v>
      </c>
      <c r="I34" s="86">
        <v>11331</v>
      </c>
      <c r="J34" s="86">
        <v>10803</v>
      </c>
      <c r="K34" s="83">
        <v>10803</v>
      </c>
      <c r="L34" s="83">
        <v>10803</v>
      </c>
      <c r="M34" s="83">
        <v>10803</v>
      </c>
      <c r="N34" s="66">
        <v>11913</v>
      </c>
      <c r="O34" s="66">
        <v>11913</v>
      </c>
      <c r="P34" s="107">
        <v>11913</v>
      </c>
      <c r="Q34" s="66">
        <v>11913</v>
      </c>
      <c r="R34" s="66">
        <v>12904</v>
      </c>
      <c r="S34" s="66">
        <v>12904</v>
      </c>
      <c r="T34" s="66">
        <v>13363</v>
      </c>
      <c r="U34" s="37"/>
    </row>
    <row r="35" spans="1:21" ht="15.75" x14ac:dyDescent="0.25">
      <c r="A35" s="26" t="s">
        <v>31</v>
      </c>
      <c r="B35" s="37"/>
      <c r="C35" s="37"/>
      <c r="D35" s="81">
        <f t="shared" ref="D35:H35" si="7">+D34+D33</f>
        <v>229964</v>
      </c>
      <c r="E35" s="82">
        <f>E34+E33</f>
        <v>237895</v>
      </c>
      <c r="F35" s="82">
        <f t="shared" si="7"/>
        <v>271184.19</v>
      </c>
      <c r="G35" s="82">
        <f t="shared" si="7"/>
        <v>267988</v>
      </c>
      <c r="H35" s="82">
        <f t="shared" si="7"/>
        <v>267988</v>
      </c>
      <c r="I35" s="82">
        <f t="shared" ref="I35:Q35" si="8">SUM(I33:I34)</f>
        <v>256540</v>
      </c>
      <c r="J35" s="82">
        <f t="shared" si="8"/>
        <v>272437.95120000001</v>
      </c>
      <c r="K35" s="83">
        <f t="shared" si="8"/>
        <v>260000</v>
      </c>
      <c r="L35" s="83">
        <f t="shared" si="8"/>
        <v>260000</v>
      </c>
      <c r="M35" s="83">
        <f t="shared" si="8"/>
        <v>251168</v>
      </c>
      <c r="N35" s="66">
        <f t="shared" si="8"/>
        <v>282218</v>
      </c>
      <c r="O35" s="66">
        <f t="shared" si="8"/>
        <v>274290</v>
      </c>
      <c r="P35" s="107">
        <f t="shared" ref="P35" si="9">SUM(P33:P34)</f>
        <v>274290</v>
      </c>
      <c r="Q35" s="66">
        <f t="shared" si="8"/>
        <v>260781</v>
      </c>
      <c r="R35" s="66">
        <f t="shared" ref="R35:T35" si="10">SUM(R33:R34)</f>
        <v>301198</v>
      </c>
      <c r="S35" s="66">
        <f t="shared" ref="S35" si="11">SUM(S33:S34)</f>
        <v>285677</v>
      </c>
      <c r="T35" s="66">
        <f t="shared" si="10"/>
        <v>313237</v>
      </c>
      <c r="U35" s="84">
        <f>S35/(S8+S9)</f>
        <v>0.130701075339658</v>
      </c>
    </row>
    <row r="36" spans="1:21" ht="15.75" x14ac:dyDescent="0.25">
      <c r="A36" s="87" t="s">
        <v>17</v>
      </c>
      <c r="B36" s="54"/>
      <c r="C36" s="55"/>
      <c r="D36" s="88"/>
      <c r="E36" s="89"/>
      <c r="F36" s="89"/>
      <c r="G36" s="89"/>
      <c r="H36" s="89"/>
      <c r="I36" s="89"/>
      <c r="J36" s="90"/>
      <c r="K36" s="91"/>
      <c r="L36" s="91"/>
      <c r="M36" s="91"/>
      <c r="N36" s="90"/>
      <c r="O36" s="90"/>
      <c r="P36" s="106"/>
      <c r="Q36" s="90"/>
      <c r="R36" s="90"/>
      <c r="S36" s="90"/>
      <c r="T36" s="90"/>
      <c r="U36" s="37"/>
    </row>
    <row r="37" spans="1:21" ht="15" x14ac:dyDescent="0.2">
      <c r="A37" s="37" t="s">
        <v>59</v>
      </c>
      <c r="B37" s="37"/>
      <c r="C37" s="37"/>
      <c r="D37" s="92">
        <v>51771</v>
      </c>
      <c r="E37" s="93">
        <v>50984</v>
      </c>
      <c r="F37" s="93">
        <v>55441</v>
      </c>
      <c r="G37" s="93">
        <v>57979</v>
      </c>
      <c r="H37" s="93">
        <v>57979</v>
      </c>
      <c r="I37" s="93">
        <v>54276</v>
      </c>
      <c r="J37" s="93">
        <v>57658</v>
      </c>
      <c r="K37" s="59">
        <v>57658</v>
      </c>
      <c r="L37" s="59">
        <v>57658</v>
      </c>
      <c r="M37" s="59">
        <v>52823</v>
      </c>
      <c r="N37" s="28">
        <v>59964</v>
      </c>
      <c r="O37" s="28">
        <v>55964</v>
      </c>
      <c r="P37" s="106">
        <v>55964</v>
      </c>
      <c r="Q37" s="28">
        <v>49611.70333328571</v>
      </c>
      <c r="R37" s="28">
        <v>62363</v>
      </c>
      <c r="S37" s="28">
        <f>73562*(R37/(R37+R38))</f>
        <v>55518.473768924494</v>
      </c>
      <c r="T37" s="28">
        <v>56000</v>
      </c>
      <c r="U37" s="37"/>
    </row>
    <row r="38" spans="1:21" ht="15" x14ac:dyDescent="0.2">
      <c r="A38" s="37" t="s">
        <v>61</v>
      </c>
      <c r="B38" s="37"/>
      <c r="C38" s="37"/>
      <c r="D38" s="92">
        <v>16820</v>
      </c>
      <c r="E38" s="93">
        <v>14581</v>
      </c>
      <c r="F38" s="93">
        <v>18013</v>
      </c>
      <c r="G38" s="93">
        <v>16010</v>
      </c>
      <c r="H38" s="93">
        <v>16010</v>
      </c>
      <c r="I38" s="93">
        <v>15523</v>
      </c>
      <c r="J38" s="93">
        <f>(J37*0.3249)</f>
        <v>18733.084200000001</v>
      </c>
      <c r="K38" s="59">
        <v>17442</v>
      </c>
      <c r="L38" s="59">
        <v>17442</v>
      </c>
      <c r="M38" s="59">
        <v>17168</v>
      </c>
      <c r="N38" s="28">
        <v>18139</v>
      </c>
      <c r="O38" s="28">
        <v>18188</v>
      </c>
      <c r="P38" s="106">
        <v>18188</v>
      </c>
      <c r="Q38" s="28">
        <v>16124.296666714292</v>
      </c>
      <c r="R38" s="28">
        <v>20268</v>
      </c>
      <c r="S38" s="28">
        <f>73562*(R38/(R38+R37))</f>
        <v>18043.526231075502</v>
      </c>
      <c r="T38" s="28">
        <v>18200</v>
      </c>
      <c r="U38" s="37"/>
    </row>
    <row r="39" spans="1:21" ht="15" x14ac:dyDescent="0.2">
      <c r="A39" s="37" t="s">
        <v>12</v>
      </c>
      <c r="B39" s="37"/>
      <c r="C39" s="37"/>
      <c r="D39" s="94">
        <v>202055</v>
      </c>
      <c r="E39" s="95">
        <v>85232</v>
      </c>
      <c r="F39" s="95">
        <v>260000</v>
      </c>
      <c r="G39" s="95">
        <v>200000</v>
      </c>
      <c r="H39" s="95">
        <v>200000</v>
      </c>
      <c r="I39" s="115">
        <v>169413</v>
      </c>
      <c r="J39" s="95">
        <v>300000</v>
      </c>
      <c r="K39" s="59">
        <v>220000</v>
      </c>
      <c r="L39" s="59">
        <v>220000</v>
      </c>
      <c r="M39" s="59">
        <v>236936</v>
      </c>
      <c r="N39" s="28">
        <v>714000</v>
      </c>
      <c r="O39" s="28">
        <v>300000</v>
      </c>
      <c r="P39" s="106">
        <v>300000</v>
      </c>
      <c r="Q39" s="28">
        <v>314586</v>
      </c>
      <c r="R39" s="28">
        <v>290000</v>
      </c>
      <c r="S39" s="28">
        <v>22590</v>
      </c>
      <c r="T39" s="28">
        <v>300000</v>
      </c>
      <c r="U39" s="37"/>
    </row>
    <row r="40" spans="1:21" ht="15" x14ac:dyDescent="0.2">
      <c r="A40" s="37" t="s">
        <v>13</v>
      </c>
      <c r="B40" s="37"/>
      <c r="C40" s="37"/>
      <c r="D40" s="78"/>
      <c r="E40" s="29"/>
      <c r="F40" s="29"/>
      <c r="G40" s="29"/>
      <c r="H40" s="29"/>
      <c r="I40" s="29"/>
      <c r="J40" s="29"/>
      <c r="K40" s="59"/>
      <c r="L40" s="59"/>
      <c r="M40" s="59"/>
      <c r="N40" s="28"/>
      <c r="O40" s="28"/>
      <c r="P40" s="106"/>
      <c r="Q40" s="28"/>
      <c r="R40" s="28"/>
      <c r="S40" s="28"/>
      <c r="T40" s="28"/>
      <c r="U40" s="37"/>
    </row>
    <row r="41" spans="1:21" ht="15" x14ac:dyDescent="0.2">
      <c r="A41" s="37" t="s">
        <v>14</v>
      </c>
      <c r="B41" s="37"/>
      <c r="C41" s="37"/>
      <c r="D41" s="78"/>
      <c r="E41" s="29"/>
      <c r="F41" s="29"/>
      <c r="G41" s="29"/>
      <c r="H41" s="29"/>
      <c r="I41" s="29"/>
      <c r="J41" s="29"/>
      <c r="K41" s="59"/>
      <c r="L41" s="59"/>
      <c r="M41" s="59"/>
      <c r="N41" s="28"/>
      <c r="O41" s="28"/>
      <c r="P41" s="106"/>
      <c r="Q41" s="28"/>
      <c r="R41" s="28"/>
      <c r="S41" s="28"/>
      <c r="T41" s="28">
        <v>40000</v>
      </c>
      <c r="U41" s="37"/>
    </row>
    <row r="42" spans="1:21" ht="15" x14ac:dyDescent="0.2">
      <c r="A42" s="37" t="s">
        <v>15</v>
      </c>
      <c r="B42" s="37"/>
      <c r="C42" s="37"/>
      <c r="D42" s="78"/>
      <c r="E42" s="29"/>
      <c r="F42" s="29"/>
      <c r="G42" s="29"/>
      <c r="H42" s="29"/>
      <c r="I42" s="29"/>
      <c r="J42" s="29"/>
      <c r="K42" s="59"/>
      <c r="L42" s="59"/>
      <c r="M42" s="59"/>
      <c r="N42" s="28"/>
      <c r="O42" s="28"/>
      <c r="P42" s="106"/>
      <c r="Q42" s="28"/>
      <c r="R42" s="28"/>
      <c r="S42" s="28"/>
      <c r="T42" s="28">
        <v>2000</v>
      </c>
      <c r="U42" s="37"/>
    </row>
    <row r="43" spans="1:21" ht="15" x14ac:dyDescent="0.2">
      <c r="A43" s="37" t="s">
        <v>33</v>
      </c>
      <c r="B43" s="37"/>
      <c r="C43" s="37"/>
      <c r="D43" s="92">
        <v>1595</v>
      </c>
      <c r="E43" s="93">
        <v>1895</v>
      </c>
      <c r="F43" s="93">
        <v>3000</v>
      </c>
      <c r="G43" s="93">
        <v>3000</v>
      </c>
      <c r="H43" s="93">
        <v>3000</v>
      </c>
      <c r="I43" s="93">
        <v>810</v>
      </c>
      <c r="J43" s="93">
        <v>3000</v>
      </c>
      <c r="K43" s="59">
        <v>3000</v>
      </c>
      <c r="L43" s="59">
        <v>3000</v>
      </c>
      <c r="M43" s="59">
        <v>3558</v>
      </c>
      <c r="N43" s="28">
        <v>3300</v>
      </c>
      <c r="O43" s="28">
        <v>3000</v>
      </c>
      <c r="P43" s="106">
        <v>3000</v>
      </c>
      <c r="Q43" s="28">
        <v>1520</v>
      </c>
      <c r="R43" s="28">
        <v>3000</v>
      </c>
      <c r="S43" s="28">
        <v>1075</v>
      </c>
      <c r="T43" s="28">
        <v>3000</v>
      </c>
      <c r="U43" s="37"/>
    </row>
    <row r="44" spans="1:21" ht="15" x14ac:dyDescent="0.2">
      <c r="A44" s="37" t="s">
        <v>34</v>
      </c>
      <c r="B44" s="37"/>
      <c r="C44" s="37"/>
      <c r="D44" s="78"/>
      <c r="E44" s="29"/>
      <c r="F44" s="29"/>
      <c r="G44" s="29"/>
      <c r="H44" s="29"/>
      <c r="I44" s="29"/>
      <c r="J44" s="29"/>
      <c r="K44" s="59"/>
      <c r="L44" s="59"/>
      <c r="M44" s="59"/>
      <c r="N44" s="28"/>
      <c r="O44" s="28"/>
      <c r="P44" s="106"/>
      <c r="Q44" s="28"/>
      <c r="R44" s="28"/>
      <c r="S44" s="28"/>
      <c r="T44" s="28"/>
      <c r="U44" s="37"/>
    </row>
    <row r="45" spans="1:21" ht="15" x14ac:dyDescent="0.2">
      <c r="A45" s="37" t="s">
        <v>18</v>
      </c>
      <c r="B45" s="37"/>
      <c r="C45" s="37"/>
      <c r="D45" s="92"/>
      <c r="E45" s="93">
        <v>1271</v>
      </c>
      <c r="F45" s="93">
        <v>15000</v>
      </c>
      <c r="G45" s="93">
        <v>3000</v>
      </c>
      <c r="H45" s="93">
        <v>3000</v>
      </c>
      <c r="I45" s="93">
        <v>3650</v>
      </c>
      <c r="J45" s="93">
        <v>5000</v>
      </c>
      <c r="K45" s="59">
        <v>5000</v>
      </c>
      <c r="L45" s="59">
        <v>5000</v>
      </c>
      <c r="M45" s="59">
        <v>15118</v>
      </c>
      <c r="N45" s="28">
        <v>50000</v>
      </c>
      <c r="O45" s="28">
        <v>115000</v>
      </c>
      <c r="P45" s="106">
        <v>115000</v>
      </c>
      <c r="Q45" s="28">
        <v>165751</v>
      </c>
      <c r="R45" s="28">
        <v>50000</v>
      </c>
      <c r="S45" s="28">
        <v>17789</v>
      </c>
      <c r="T45" s="28"/>
      <c r="U45" s="37"/>
    </row>
    <row r="46" spans="1:21" ht="15" x14ac:dyDescent="0.2">
      <c r="A46" s="37" t="s">
        <v>48</v>
      </c>
      <c r="B46" s="37"/>
      <c r="C46" s="37"/>
      <c r="D46" s="92">
        <v>2500</v>
      </c>
      <c r="E46" s="93">
        <v>2500</v>
      </c>
      <c r="F46" s="93">
        <v>2500</v>
      </c>
      <c r="G46" s="93">
        <v>2500</v>
      </c>
      <c r="H46" s="93">
        <v>2500</v>
      </c>
      <c r="I46" s="93">
        <v>2500</v>
      </c>
      <c r="J46" s="93">
        <v>2500</v>
      </c>
      <c r="K46" s="59">
        <v>2700</v>
      </c>
      <c r="L46" s="59">
        <v>2700</v>
      </c>
      <c r="M46" s="59">
        <v>2653</v>
      </c>
      <c r="N46" s="28">
        <v>2500</v>
      </c>
      <c r="O46" s="28">
        <v>2500</v>
      </c>
      <c r="P46" s="106">
        <v>2500</v>
      </c>
      <c r="Q46" s="28">
        <v>70719</v>
      </c>
      <c r="R46" s="28">
        <v>2500</v>
      </c>
      <c r="S46" s="28">
        <v>2500</v>
      </c>
      <c r="T46" s="28"/>
      <c r="U46" s="37"/>
    </row>
    <row r="47" spans="1:21" ht="15.75" x14ac:dyDescent="0.25">
      <c r="A47" s="37" t="s">
        <v>39</v>
      </c>
      <c r="B47" s="37"/>
      <c r="C47" s="37"/>
      <c r="D47" s="94">
        <v>119954</v>
      </c>
      <c r="E47" s="115">
        <v>1646</v>
      </c>
      <c r="F47" s="95">
        <v>430000</v>
      </c>
      <c r="G47" s="95">
        <v>204000</v>
      </c>
      <c r="H47" s="95">
        <v>204000</v>
      </c>
      <c r="I47" s="95">
        <v>8765</v>
      </c>
      <c r="J47" s="95">
        <v>520000</v>
      </c>
      <c r="K47" s="59">
        <v>250000</v>
      </c>
      <c r="L47" s="59">
        <v>250000</v>
      </c>
      <c r="M47" s="59">
        <v>676</v>
      </c>
      <c r="N47" s="28">
        <v>850000</v>
      </c>
      <c r="O47" s="28">
        <v>235441</v>
      </c>
      <c r="P47" s="106">
        <v>235441</v>
      </c>
      <c r="Q47" s="28"/>
      <c r="R47" s="28">
        <v>300000</v>
      </c>
      <c r="S47" s="28"/>
      <c r="T47" s="28">
        <v>400000</v>
      </c>
      <c r="U47" s="96">
        <v>1</v>
      </c>
    </row>
    <row r="48" spans="1:21" ht="15.75" x14ac:dyDescent="0.25">
      <c r="A48" s="37" t="s">
        <v>22</v>
      </c>
      <c r="B48" s="37"/>
      <c r="C48" s="37"/>
      <c r="D48" s="94">
        <v>807107</v>
      </c>
      <c r="E48" s="95">
        <v>704281</v>
      </c>
      <c r="F48" s="95">
        <v>730614</v>
      </c>
      <c r="G48" s="95">
        <v>499470</v>
      </c>
      <c r="H48" s="95">
        <v>499470</v>
      </c>
      <c r="I48" s="95">
        <v>303394</v>
      </c>
      <c r="J48" s="95">
        <v>2112000</v>
      </c>
      <c r="K48" s="59">
        <v>889000</v>
      </c>
      <c r="L48" s="59">
        <v>889000</v>
      </c>
      <c r="M48" s="59">
        <v>873296</v>
      </c>
      <c r="N48" s="28">
        <v>2224000</v>
      </c>
      <c r="O48" s="28">
        <v>1102000</v>
      </c>
      <c r="P48" s="106">
        <v>1112198</v>
      </c>
      <c r="Q48" s="28">
        <v>910656</v>
      </c>
      <c r="R48" s="28">
        <v>6720000</v>
      </c>
      <c r="S48" s="28">
        <v>106988</v>
      </c>
      <c r="T48" s="28">
        <v>4048972</v>
      </c>
      <c r="U48" s="96">
        <v>2</v>
      </c>
    </row>
    <row r="49" spans="1:21" ht="15.75" x14ac:dyDescent="0.25">
      <c r="A49" s="37" t="s">
        <v>24</v>
      </c>
      <c r="B49" s="37"/>
      <c r="C49" s="37"/>
      <c r="D49" s="97"/>
      <c r="E49" s="33"/>
      <c r="F49" s="33"/>
      <c r="G49" s="33"/>
      <c r="H49" s="33"/>
      <c r="I49" s="33"/>
      <c r="J49" s="33"/>
      <c r="K49" s="59"/>
      <c r="L49" s="59"/>
      <c r="M49" s="59"/>
      <c r="N49" s="28"/>
      <c r="O49" s="28"/>
      <c r="P49" s="106"/>
      <c r="Q49" s="28"/>
      <c r="R49" s="28"/>
      <c r="S49" s="28"/>
      <c r="T49" s="28"/>
      <c r="U49" s="98"/>
    </row>
    <row r="50" spans="1:21" ht="15.75" x14ac:dyDescent="0.25">
      <c r="A50" s="37" t="s">
        <v>38</v>
      </c>
      <c r="B50" s="37"/>
      <c r="C50" s="37"/>
      <c r="D50" s="97">
        <v>5700</v>
      </c>
      <c r="E50" s="33">
        <v>6799</v>
      </c>
      <c r="F50" s="33">
        <v>10000</v>
      </c>
      <c r="G50" s="33">
        <v>15000</v>
      </c>
      <c r="H50" s="33">
        <v>15000</v>
      </c>
      <c r="I50" s="33">
        <v>20401</v>
      </c>
      <c r="J50" s="33">
        <v>10000</v>
      </c>
      <c r="K50" s="59">
        <v>5000</v>
      </c>
      <c r="L50" s="59">
        <v>5000</v>
      </c>
      <c r="M50" s="59">
        <v>3275</v>
      </c>
      <c r="N50" s="28">
        <v>10000</v>
      </c>
      <c r="O50" s="28">
        <v>5000</v>
      </c>
      <c r="P50" s="106">
        <v>5000</v>
      </c>
      <c r="Q50" s="28">
        <v>2979</v>
      </c>
      <c r="R50" s="28">
        <v>10000</v>
      </c>
      <c r="S50" s="28">
        <v>5125</v>
      </c>
      <c r="T50" s="28">
        <v>10000</v>
      </c>
      <c r="U50" s="98"/>
    </row>
    <row r="51" spans="1:21" ht="15.75" x14ac:dyDescent="0.25">
      <c r="A51" s="37" t="s">
        <v>40</v>
      </c>
      <c r="B51" s="37"/>
      <c r="C51" s="37"/>
      <c r="D51" s="97"/>
      <c r="E51" s="33"/>
      <c r="F51" s="33"/>
      <c r="G51" s="33"/>
      <c r="H51" s="33">
        <v>15000</v>
      </c>
      <c r="I51" s="33"/>
      <c r="J51" s="33">
        <v>100000</v>
      </c>
      <c r="K51" s="59">
        <v>10000</v>
      </c>
      <c r="L51" s="59">
        <v>10000</v>
      </c>
      <c r="M51" s="59"/>
      <c r="N51" s="28">
        <v>100000</v>
      </c>
      <c r="O51" s="28">
        <v>100000</v>
      </c>
      <c r="P51" s="106">
        <v>100000</v>
      </c>
      <c r="Q51" s="28"/>
      <c r="R51" s="28">
        <v>250000</v>
      </c>
      <c r="S51" s="28">
        <v>69500</v>
      </c>
      <c r="T51" s="28">
        <v>200000</v>
      </c>
      <c r="U51" s="98">
        <v>5</v>
      </c>
    </row>
    <row r="52" spans="1:21" ht="15.75" x14ac:dyDescent="0.25">
      <c r="A52" s="37" t="s">
        <v>70</v>
      </c>
      <c r="B52" s="37"/>
      <c r="C52" s="37"/>
      <c r="D52" s="94"/>
      <c r="E52" s="95">
        <v>9809</v>
      </c>
      <c r="F52" s="95">
        <v>50000</v>
      </c>
      <c r="G52" s="95">
        <v>10000</v>
      </c>
      <c r="H52" s="95">
        <v>10000</v>
      </c>
      <c r="I52" s="95"/>
      <c r="J52" s="95">
        <v>50000</v>
      </c>
      <c r="K52" s="59">
        <v>10000</v>
      </c>
      <c r="L52" s="59">
        <v>10000</v>
      </c>
      <c r="M52" s="59">
        <v>10000</v>
      </c>
      <c r="N52" s="28">
        <v>50000</v>
      </c>
      <c r="O52" s="28">
        <v>10000</v>
      </c>
      <c r="P52" s="106">
        <v>10000</v>
      </c>
      <c r="Q52" s="28"/>
      <c r="R52" s="28">
        <v>30000</v>
      </c>
      <c r="S52" s="28"/>
      <c r="T52" s="28">
        <v>30000</v>
      </c>
      <c r="U52" s="96">
        <v>3</v>
      </c>
    </row>
    <row r="53" spans="1:21" ht="15.75" x14ac:dyDescent="0.25">
      <c r="A53" s="37" t="s">
        <v>45</v>
      </c>
      <c r="B53" s="37"/>
      <c r="C53" s="37"/>
      <c r="D53" s="97"/>
      <c r="E53" s="33"/>
      <c r="F53" s="33"/>
      <c r="G53" s="33"/>
      <c r="H53" s="33"/>
      <c r="I53" s="33"/>
      <c r="J53" s="33"/>
      <c r="K53" s="59"/>
      <c r="L53" s="59"/>
      <c r="M53" s="59"/>
      <c r="N53" s="28"/>
      <c r="O53" s="28"/>
      <c r="P53" s="106"/>
      <c r="Q53" s="28"/>
      <c r="R53" s="28"/>
      <c r="S53" s="28"/>
      <c r="T53" s="28"/>
      <c r="U53" s="98"/>
    </row>
    <row r="54" spans="1:21" ht="15.75" x14ac:dyDescent="0.25">
      <c r="A54" s="37" t="s">
        <v>23</v>
      </c>
      <c r="B54" s="37"/>
      <c r="C54" s="37"/>
      <c r="D54" s="94"/>
      <c r="E54" s="95"/>
      <c r="F54" s="95">
        <v>30000</v>
      </c>
      <c r="G54" s="95">
        <v>25000</v>
      </c>
      <c r="H54" s="95">
        <v>25000</v>
      </c>
      <c r="I54" s="95"/>
      <c r="J54" s="95">
        <v>20000</v>
      </c>
      <c r="K54" s="59"/>
      <c r="L54" s="59"/>
      <c r="M54" s="59">
        <v>200</v>
      </c>
      <c r="N54" s="28"/>
      <c r="O54" s="28"/>
      <c r="P54" s="106"/>
      <c r="Q54" s="28"/>
      <c r="R54" s="28">
        <v>10000</v>
      </c>
      <c r="S54" s="28">
        <v>1110</v>
      </c>
      <c r="T54" s="28">
        <v>40000</v>
      </c>
      <c r="U54" s="96">
        <v>4</v>
      </c>
    </row>
    <row r="55" spans="1:21" ht="15" x14ac:dyDescent="0.2">
      <c r="A55" s="37" t="s">
        <v>102</v>
      </c>
      <c r="B55" s="37"/>
      <c r="C55" s="37"/>
      <c r="D55" s="92">
        <v>269640</v>
      </c>
      <c r="E55" s="93">
        <v>300000</v>
      </c>
      <c r="F55" s="93">
        <v>280000</v>
      </c>
      <c r="G55" s="93">
        <v>300000</v>
      </c>
      <c r="H55" s="93">
        <v>300000</v>
      </c>
      <c r="I55" s="93">
        <v>300000</v>
      </c>
      <c r="J55" s="93">
        <v>300000</v>
      </c>
      <c r="K55" s="59">
        <v>300000</v>
      </c>
      <c r="L55" s="59">
        <v>300000</v>
      </c>
      <c r="M55" s="59">
        <v>300000</v>
      </c>
      <c r="N55" s="28">
        <v>300000</v>
      </c>
      <c r="O55" s="28">
        <v>300000</v>
      </c>
      <c r="P55" s="106">
        <v>300000</v>
      </c>
      <c r="Q55" s="28">
        <v>300000</v>
      </c>
      <c r="R55" s="28">
        <v>300000</v>
      </c>
      <c r="S55" s="28">
        <v>300000</v>
      </c>
      <c r="T55" s="28">
        <v>350000</v>
      </c>
      <c r="U55" s="37"/>
    </row>
    <row r="56" spans="1:21" ht="15.75" x14ac:dyDescent="0.25">
      <c r="A56" s="37" t="s">
        <v>103</v>
      </c>
      <c r="B56" s="37"/>
      <c r="C56" s="37"/>
      <c r="D56" s="92"/>
      <c r="E56" s="93"/>
      <c r="F56" s="93"/>
      <c r="G56" s="93"/>
      <c r="H56" s="93"/>
      <c r="I56" s="93"/>
      <c r="J56" s="93"/>
      <c r="K56" s="59"/>
      <c r="L56" s="59"/>
      <c r="M56" s="59"/>
      <c r="N56" s="28"/>
      <c r="O56" s="28"/>
      <c r="P56" s="106"/>
      <c r="Q56" s="28"/>
      <c r="R56" s="28">
        <v>105000</v>
      </c>
      <c r="S56" s="28">
        <v>115071</v>
      </c>
      <c r="T56" s="28">
        <v>60000</v>
      </c>
      <c r="U56" s="27">
        <v>6</v>
      </c>
    </row>
    <row r="57" spans="1:21" ht="15" x14ac:dyDescent="0.2">
      <c r="A57" s="37" t="s">
        <v>104</v>
      </c>
      <c r="B57" s="37"/>
      <c r="C57" s="37"/>
      <c r="D57" s="97">
        <v>-485</v>
      </c>
      <c r="E57" s="33"/>
      <c r="F57" s="33">
        <v>20000</v>
      </c>
      <c r="G57" s="33">
        <v>12186</v>
      </c>
      <c r="H57" s="33">
        <v>12186</v>
      </c>
      <c r="I57" s="114"/>
      <c r="J57" s="33">
        <v>15000</v>
      </c>
      <c r="K57" s="59">
        <v>3184</v>
      </c>
      <c r="L57" s="59">
        <v>3184</v>
      </c>
      <c r="M57" s="59"/>
      <c r="N57" s="28">
        <v>10000</v>
      </c>
      <c r="O57" s="28">
        <v>12792</v>
      </c>
      <c r="P57" s="106">
        <v>12792</v>
      </c>
      <c r="Q57" s="28"/>
      <c r="R57" s="28">
        <v>10000</v>
      </c>
      <c r="S57" s="28"/>
      <c r="T57" s="28">
        <v>10000</v>
      </c>
      <c r="U57" s="37"/>
    </row>
    <row r="58" spans="1:21" ht="15" x14ac:dyDescent="0.2">
      <c r="A58" s="37" t="s">
        <v>105</v>
      </c>
      <c r="B58" s="37"/>
      <c r="C58" s="37"/>
      <c r="D58" s="92"/>
      <c r="E58" s="93"/>
      <c r="F58" s="93">
        <v>500</v>
      </c>
      <c r="G58" s="93"/>
      <c r="H58" s="93"/>
      <c r="I58" s="93"/>
      <c r="J58" s="93">
        <v>500</v>
      </c>
      <c r="K58" s="59">
        <v>1500</v>
      </c>
      <c r="L58" s="59">
        <v>1500</v>
      </c>
      <c r="M58" s="59"/>
      <c r="N58" s="28">
        <v>1500</v>
      </c>
      <c r="O58" s="28">
        <v>400</v>
      </c>
      <c r="P58" s="106">
        <v>400</v>
      </c>
      <c r="Q58" s="28">
        <v>647</v>
      </c>
      <c r="R58" s="28">
        <v>1000</v>
      </c>
      <c r="S58" s="28">
        <v>568</v>
      </c>
      <c r="T58" s="28">
        <v>1000</v>
      </c>
      <c r="U58" s="37"/>
    </row>
    <row r="59" spans="1:21" ht="15.75" x14ac:dyDescent="0.25">
      <c r="A59" s="26" t="s">
        <v>28</v>
      </c>
      <c r="B59" s="37"/>
      <c r="C59" s="37"/>
      <c r="D59" s="99">
        <f t="shared" ref="D59:J59" si="12">SUM(D37:D58)</f>
        <v>1476657</v>
      </c>
      <c r="E59" s="100">
        <f t="shared" si="12"/>
        <v>1178998</v>
      </c>
      <c r="F59" s="100">
        <f t="shared" si="12"/>
        <v>1905068</v>
      </c>
      <c r="G59" s="100">
        <f t="shared" si="12"/>
        <v>1348145</v>
      </c>
      <c r="H59" s="100">
        <f t="shared" si="12"/>
        <v>1363145</v>
      </c>
      <c r="I59" s="100">
        <f t="shared" si="12"/>
        <v>878732</v>
      </c>
      <c r="J59" s="100">
        <f t="shared" si="12"/>
        <v>3514391.0841999999</v>
      </c>
      <c r="K59" s="83">
        <f>SUM(K37:K58)</f>
        <v>1774484</v>
      </c>
      <c r="L59" s="83">
        <f>SUM(L37:L58)</f>
        <v>1774484</v>
      </c>
      <c r="M59" s="83">
        <f>SUM(M37:M58)</f>
        <v>1515703</v>
      </c>
      <c r="N59" s="66">
        <f>SUM(N37:N58)</f>
        <v>4393403</v>
      </c>
      <c r="O59" s="66">
        <f t="shared" ref="O59:S59" si="13">SUM(O37:O58)</f>
        <v>2260285</v>
      </c>
      <c r="P59" s="107">
        <f t="shared" si="13"/>
        <v>2270483</v>
      </c>
      <c r="Q59" s="66">
        <f t="shared" si="13"/>
        <v>1832594</v>
      </c>
      <c r="R59" s="66">
        <f t="shared" si="13"/>
        <v>8164131</v>
      </c>
      <c r="S59" s="66">
        <f t="shared" si="13"/>
        <v>715878</v>
      </c>
      <c r="T59" s="66">
        <f t="shared" ref="T59" si="14">SUM(T37:T58)</f>
        <v>5569172</v>
      </c>
      <c r="U59" s="37"/>
    </row>
    <row r="60" spans="1:21" ht="15.75" x14ac:dyDescent="0.25">
      <c r="A60" s="26" t="s">
        <v>29</v>
      </c>
      <c r="B60" s="37"/>
      <c r="C60" s="37"/>
      <c r="D60" s="37"/>
      <c r="E60" s="100"/>
      <c r="F60" s="100">
        <f>+F15-F35-F59</f>
        <v>386033.81000000006</v>
      </c>
      <c r="G60" s="100"/>
      <c r="H60" s="100"/>
      <c r="I60" s="100"/>
      <c r="J60" s="100">
        <v>179587</v>
      </c>
      <c r="K60" s="83">
        <v>179587</v>
      </c>
      <c r="L60" s="59"/>
      <c r="M60" s="59"/>
      <c r="N60" s="66">
        <f>+N15-N35-N59</f>
        <v>1165875</v>
      </c>
      <c r="O60" s="66">
        <v>200000</v>
      </c>
      <c r="P60" s="107"/>
      <c r="Q60" s="66"/>
      <c r="R60" s="66">
        <f>SUM(R15-R35-R59)</f>
        <v>46324</v>
      </c>
      <c r="S60" s="66"/>
      <c r="T60" s="66">
        <f>SUM(T15-T35-T59)</f>
        <v>2812752</v>
      </c>
      <c r="U60" s="37"/>
    </row>
    <row r="61" spans="1:21" ht="15.75" x14ac:dyDescent="0.25">
      <c r="A61" s="62" t="s">
        <v>35</v>
      </c>
      <c r="B61" s="62"/>
      <c r="C61" s="63"/>
      <c r="D61" s="101">
        <f t="shared" ref="D61:M61" si="15">+D35+D59+D60</f>
        <v>1706621</v>
      </c>
      <c r="E61" s="101">
        <f t="shared" si="15"/>
        <v>1416893</v>
      </c>
      <c r="F61" s="101">
        <f t="shared" si="15"/>
        <v>2562286</v>
      </c>
      <c r="G61" s="101">
        <f t="shared" si="15"/>
        <v>1616133</v>
      </c>
      <c r="H61" s="101">
        <f t="shared" si="15"/>
        <v>1631133</v>
      </c>
      <c r="I61" s="101">
        <f t="shared" si="15"/>
        <v>1135272</v>
      </c>
      <c r="J61" s="101">
        <f t="shared" si="15"/>
        <v>3966416.0353999999</v>
      </c>
      <c r="K61" s="101">
        <f t="shared" si="15"/>
        <v>2214071</v>
      </c>
      <c r="L61" s="101">
        <f t="shared" si="15"/>
        <v>2034484</v>
      </c>
      <c r="M61" s="101">
        <f t="shared" si="15"/>
        <v>1766871</v>
      </c>
      <c r="N61" s="66">
        <f>N35+N59+N60</f>
        <v>5841496</v>
      </c>
      <c r="O61" s="66">
        <f t="shared" ref="O61:S61" si="16">O35+O59+O60</f>
        <v>2734575</v>
      </c>
      <c r="P61" s="107">
        <f t="shared" si="16"/>
        <v>2544773</v>
      </c>
      <c r="Q61" s="66">
        <f t="shared" si="16"/>
        <v>2093375</v>
      </c>
      <c r="R61" s="66">
        <f t="shared" si="16"/>
        <v>8511653</v>
      </c>
      <c r="S61" s="66">
        <f t="shared" si="16"/>
        <v>1001555</v>
      </c>
      <c r="T61" s="66">
        <f t="shared" ref="T61" si="17">T35+T59+T60</f>
        <v>8695161</v>
      </c>
      <c r="U61" s="37"/>
    </row>
    <row r="62" spans="1:21" ht="15.75" x14ac:dyDescent="0.25">
      <c r="A62" s="55"/>
      <c r="B62" s="55"/>
      <c r="C62" s="55"/>
      <c r="D62" s="102"/>
      <c r="E62" s="103"/>
      <c r="F62" s="103"/>
      <c r="G62" s="103"/>
      <c r="H62" s="103"/>
      <c r="I62" s="103"/>
      <c r="J62" s="36"/>
      <c r="K62" s="91"/>
      <c r="L62" s="91"/>
      <c r="M62" s="91"/>
      <c r="N62" s="90"/>
      <c r="O62" s="90"/>
      <c r="P62" s="106"/>
      <c r="Q62" s="90"/>
      <c r="R62" s="90"/>
      <c r="S62" s="90"/>
      <c r="T62" s="90"/>
      <c r="U62" s="37"/>
    </row>
    <row r="63" spans="1:21" ht="15.75" x14ac:dyDescent="0.25">
      <c r="A63" s="62" t="s">
        <v>27</v>
      </c>
      <c r="B63" s="62"/>
      <c r="C63" s="63"/>
      <c r="D63" s="100">
        <f>+D15-D35-D59</f>
        <v>1319624</v>
      </c>
      <c r="E63" s="113">
        <f>+E15-E35-E59</f>
        <v>1603693</v>
      </c>
      <c r="F63" s="100"/>
      <c r="G63" s="100">
        <f>G15-G35-G59</f>
        <v>2044327</v>
      </c>
      <c r="H63" s="100">
        <f>H15-H35-H59</f>
        <v>2029327</v>
      </c>
      <c r="I63" s="113">
        <f>I15-I35-I59</f>
        <v>2369999</v>
      </c>
      <c r="J63" s="100"/>
      <c r="K63" s="100">
        <f>K15-K59-K60</f>
        <v>3224896</v>
      </c>
      <c r="L63" s="100">
        <f>L15-L59-L60</f>
        <v>3404483</v>
      </c>
      <c r="M63" s="113">
        <f>M15-M35-M59</f>
        <v>2612348</v>
      </c>
      <c r="N63" s="28"/>
      <c r="O63" s="100">
        <f t="shared" ref="O63:P63" si="18">O15-O59-O60</f>
        <v>3453123</v>
      </c>
      <c r="P63" s="111">
        <f t="shared" si="18"/>
        <v>3642925</v>
      </c>
      <c r="Q63" s="100">
        <f>Q15-Q35-Q59</f>
        <v>2696882</v>
      </c>
      <c r="R63" s="100"/>
      <c r="S63" s="111">
        <f>S15-S35-S59</f>
        <v>4002677</v>
      </c>
      <c r="T63" s="100"/>
      <c r="U63" s="37"/>
    </row>
    <row r="64" spans="1:21" ht="15" x14ac:dyDescent="0.25">
      <c r="A64" s="24"/>
      <c r="B64" s="24"/>
      <c r="C64" s="13"/>
      <c r="D64" s="2"/>
      <c r="E64" s="2"/>
      <c r="F64" s="2"/>
      <c r="G64" s="2"/>
      <c r="H64" s="2"/>
      <c r="I64" s="2"/>
      <c r="J64" s="2"/>
      <c r="K64" s="2"/>
    </row>
    <row r="65" spans="1:1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9" spans="1:11" hidden="1" x14ac:dyDescent="0.2"/>
    <row r="82" hidden="1" x14ac:dyDescent="0.2"/>
  </sheetData>
  <pageMargins left="0.36" right="0.35" top="0.75" bottom="0.25" header="0.5" footer="0.5"/>
  <pageSetup scale="54" orientation="landscape" r:id="rId1"/>
  <headerFooter alignWithMargins="0">
    <oddHeader>&amp;C&amp;"Arial,Bold"&amp;12City of Florida City
Community Redevlopment Agency
FY 2019-20 Proposed Budget
FY 2019-20 begins October 1, 2019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="75" zoomScaleNormal="75" zoomScalePageLayoutView="75" workbookViewId="0">
      <pane xSplit="3" ySplit="3" topLeftCell="D4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S56" activeCellId="3" sqref="S48 S51 S54 S56"/>
    </sheetView>
  </sheetViews>
  <sheetFormatPr defaultRowHeight="12.75" x14ac:dyDescent="0.2"/>
  <cols>
    <col min="1" max="1" width="14.85546875" customWidth="1"/>
    <col min="2" max="2" width="22.5703125" customWidth="1"/>
    <col min="3" max="3" width="14.5703125" customWidth="1"/>
    <col min="4" max="4" width="13.140625" customWidth="1"/>
    <col min="5" max="5" width="12.42578125" customWidth="1"/>
    <col min="6" max="8" width="12.42578125" hidden="1" customWidth="1"/>
    <col min="9" max="9" width="12.28515625" customWidth="1"/>
    <col min="10" max="10" width="12.42578125" customWidth="1"/>
    <col min="11" max="11" width="12.5703125" customWidth="1"/>
    <col min="12" max="12" width="13.28515625" customWidth="1"/>
    <col min="13" max="13" width="13.42578125" customWidth="1"/>
    <col min="14" max="14" width="14.42578125" customWidth="1"/>
    <col min="15" max="15" width="13.140625" customWidth="1"/>
    <col min="16" max="16" width="13.85546875" customWidth="1"/>
    <col min="17" max="18" width="13.42578125" customWidth="1"/>
    <col min="19" max="19" width="13.85546875" customWidth="1"/>
    <col min="20" max="20" width="13.42578125" customWidth="1"/>
  </cols>
  <sheetData>
    <row r="1" spans="1:21" s="1" customFormat="1" ht="15.75" x14ac:dyDescent="0.25">
      <c r="A1" s="12"/>
      <c r="B1" s="5" t="s">
        <v>2</v>
      </c>
      <c r="C1" s="6" t="s">
        <v>2</v>
      </c>
      <c r="D1" s="44" t="s">
        <v>71</v>
      </c>
      <c r="E1" s="44" t="s">
        <v>74</v>
      </c>
      <c r="F1" s="45" t="s">
        <v>75</v>
      </c>
      <c r="G1" s="44" t="s">
        <v>75</v>
      </c>
      <c r="H1" s="44" t="s">
        <v>75</v>
      </c>
      <c r="I1" s="44" t="s">
        <v>75</v>
      </c>
      <c r="J1" s="44" t="s">
        <v>79</v>
      </c>
      <c r="K1" s="46" t="s">
        <v>78</v>
      </c>
      <c r="L1" s="47" t="s">
        <v>78</v>
      </c>
      <c r="M1" s="47" t="s">
        <v>78</v>
      </c>
      <c r="N1" s="47" t="s">
        <v>89</v>
      </c>
      <c r="O1" s="44" t="s">
        <v>89</v>
      </c>
      <c r="P1" s="44" t="s">
        <v>89</v>
      </c>
      <c r="Q1" s="47" t="s">
        <v>89</v>
      </c>
      <c r="R1" s="44" t="s">
        <v>101</v>
      </c>
      <c r="S1" s="44" t="s">
        <v>101</v>
      </c>
      <c r="T1" s="44" t="s">
        <v>106</v>
      </c>
    </row>
    <row r="2" spans="1:21" s="1" customFormat="1" ht="15.75" x14ac:dyDescent="0.25">
      <c r="A2" s="4"/>
      <c r="B2" s="7"/>
      <c r="C2" s="8"/>
      <c r="D2" s="48" t="s">
        <v>0</v>
      </c>
      <c r="E2" s="48" t="s">
        <v>0</v>
      </c>
      <c r="F2" s="49" t="s">
        <v>0</v>
      </c>
      <c r="G2" s="48" t="s">
        <v>0</v>
      </c>
      <c r="H2" s="48" t="s">
        <v>0</v>
      </c>
      <c r="I2" s="48" t="s">
        <v>0</v>
      </c>
      <c r="J2" s="48" t="s">
        <v>0</v>
      </c>
      <c r="K2" s="46" t="s">
        <v>0</v>
      </c>
      <c r="L2" s="47" t="s">
        <v>0</v>
      </c>
      <c r="M2" s="47" t="s">
        <v>0</v>
      </c>
      <c r="N2" s="47" t="s">
        <v>0</v>
      </c>
      <c r="O2" s="48" t="s">
        <v>0</v>
      </c>
      <c r="P2" s="48" t="s">
        <v>0</v>
      </c>
      <c r="Q2" s="47" t="s">
        <v>0</v>
      </c>
      <c r="R2" s="48" t="s">
        <v>0</v>
      </c>
      <c r="S2" s="48" t="s">
        <v>0</v>
      </c>
      <c r="T2" s="48" t="s">
        <v>0</v>
      </c>
    </row>
    <row r="3" spans="1:21" s="1" customFormat="1" ht="15.75" x14ac:dyDescent="0.25">
      <c r="A3" s="9"/>
      <c r="B3" s="10"/>
      <c r="C3" s="11"/>
      <c r="D3" s="50" t="s">
        <v>1</v>
      </c>
      <c r="E3" s="51" t="s">
        <v>1</v>
      </c>
      <c r="F3" s="52" t="s">
        <v>3</v>
      </c>
      <c r="G3" s="51" t="s">
        <v>73</v>
      </c>
      <c r="H3" s="51" t="s">
        <v>85</v>
      </c>
      <c r="I3" s="51" t="s">
        <v>1</v>
      </c>
      <c r="J3" s="51" t="s">
        <v>3</v>
      </c>
      <c r="K3" s="46" t="s">
        <v>73</v>
      </c>
      <c r="L3" s="53" t="s">
        <v>85</v>
      </c>
      <c r="M3" s="53" t="s">
        <v>1</v>
      </c>
      <c r="N3" s="53" t="s">
        <v>3</v>
      </c>
      <c r="O3" s="51" t="s">
        <v>73</v>
      </c>
      <c r="P3" s="51" t="s">
        <v>85</v>
      </c>
      <c r="Q3" s="53" t="s">
        <v>1</v>
      </c>
      <c r="R3" s="51" t="s">
        <v>96</v>
      </c>
      <c r="S3" s="51" t="s">
        <v>85</v>
      </c>
      <c r="T3" s="51" t="s">
        <v>96</v>
      </c>
    </row>
    <row r="4" spans="1:21" ht="15.75" x14ac:dyDescent="0.25">
      <c r="A4" s="26" t="s">
        <v>8</v>
      </c>
      <c r="B4" s="37"/>
      <c r="C4" s="37"/>
      <c r="D4" s="28"/>
      <c r="E4" s="29"/>
      <c r="F4" s="29"/>
      <c r="G4" s="29"/>
      <c r="H4" s="29"/>
      <c r="I4" s="29"/>
      <c r="J4" s="29"/>
      <c r="K4" s="29"/>
      <c r="L4" s="29"/>
      <c r="M4" s="29"/>
      <c r="N4" s="28"/>
      <c r="O4" s="28"/>
      <c r="P4" s="28"/>
      <c r="Q4" s="29"/>
      <c r="R4" s="28"/>
      <c r="S4" s="28"/>
      <c r="T4" s="28"/>
    </row>
    <row r="5" spans="1:21" ht="15" x14ac:dyDescent="0.2">
      <c r="A5" s="37"/>
      <c r="B5" s="37"/>
      <c r="C5" s="37"/>
      <c r="D5" s="28"/>
      <c r="E5" s="29"/>
      <c r="F5" s="29"/>
      <c r="G5" s="29"/>
      <c r="H5" s="29"/>
      <c r="I5" s="29"/>
      <c r="J5" s="29"/>
      <c r="K5" s="29"/>
      <c r="L5" s="29"/>
      <c r="M5" s="29"/>
      <c r="N5" s="28"/>
      <c r="O5" s="28"/>
      <c r="P5" s="28"/>
      <c r="Q5" s="29"/>
      <c r="R5" s="28"/>
      <c r="S5" s="28"/>
      <c r="T5" s="28"/>
      <c r="U5" s="37"/>
    </row>
    <row r="6" spans="1:21" ht="15.75" x14ac:dyDescent="0.25">
      <c r="A6" s="37" t="s">
        <v>72</v>
      </c>
      <c r="B6" s="37"/>
      <c r="C6" s="37"/>
      <c r="D6" s="28">
        <v>35532</v>
      </c>
      <c r="E6" s="30">
        <v>191030</v>
      </c>
      <c r="F6" s="30">
        <v>20000</v>
      </c>
      <c r="G6" s="30">
        <v>45667</v>
      </c>
      <c r="H6" s="30">
        <v>45667</v>
      </c>
      <c r="I6" s="30"/>
      <c r="J6" s="30"/>
      <c r="K6" s="31"/>
      <c r="L6" s="31"/>
      <c r="M6" s="31"/>
      <c r="N6" s="28"/>
      <c r="O6" s="28"/>
      <c r="P6" s="28"/>
      <c r="Q6" s="31"/>
      <c r="R6" s="28"/>
      <c r="S6" s="28"/>
      <c r="T6" s="28"/>
      <c r="U6" s="43" t="s">
        <v>50</v>
      </c>
    </row>
    <row r="7" spans="1:21" ht="15.75" x14ac:dyDescent="0.25">
      <c r="A7" s="37" t="s">
        <v>41</v>
      </c>
      <c r="B7" s="37"/>
      <c r="C7" s="37"/>
      <c r="D7" s="32"/>
      <c r="E7" s="30"/>
      <c r="F7" s="30">
        <v>20000</v>
      </c>
      <c r="G7" s="30"/>
      <c r="H7" s="30"/>
      <c r="I7" s="30"/>
      <c r="J7" s="30">
        <v>20000</v>
      </c>
      <c r="K7" s="30">
        <v>10000</v>
      </c>
      <c r="L7" s="30">
        <v>10000</v>
      </c>
      <c r="M7" s="30">
        <v>10000</v>
      </c>
      <c r="N7" s="28">
        <v>30000</v>
      </c>
      <c r="O7" s="28"/>
      <c r="P7" s="28"/>
      <c r="Q7" s="30"/>
      <c r="R7" s="28">
        <v>10000</v>
      </c>
      <c r="S7" s="28"/>
      <c r="T7" s="28">
        <v>10000</v>
      </c>
      <c r="U7" s="43" t="s">
        <v>51</v>
      </c>
    </row>
    <row r="8" spans="1:21" ht="15.75" x14ac:dyDescent="0.25">
      <c r="A8" s="37" t="s">
        <v>44</v>
      </c>
      <c r="B8" s="37"/>
      <c r="C8" s="37"/>
      <c r="D8" s="32"/>
      <c r="E8" s="30"/>
      <c r="F8" s="30">
        <v>10000</v>
      </c>
      <c r="G8" s="30">
        <v>25000</v>
      </c>
      <c r="H8" s="30">
        <v>25000</v>
      </c>
      <c r="I8" s="30"/>
      <c r="J8" s="30">
        <v>10000</v>
      </c>
      <c r="K8" s="30"/>
      <c r="L8" s="30"/>
      <c r="M8" s="30">
        <v>200</v>
      </c>
      <c r="N8" s="28">
        <v>10000</v>
      </c>
      <c r="O8" s="28"/>
      <c r="P8" s="28"/>
      <c r="Q8" s="30"/>
      <c r="R8" s="28">
        <v>10000</v>
      </c>
      <c r="S8" s="28">
        <v>1110</v>
      </c>
      <c r="T8" s="28">
        <v>10000</v>
      </c>
      <c r="U8" s="43">
        <v>4</v>
      </c>
    </row>
    <row r="9" spans="1:21" ht="15.75" x14ac:dyDescent="0.25">
      <c r="A9" s="37" t="s">
        <v>57</v>
      </c>
      <c r="B9" s="37"/>
      <c r="C9" s="37"/>
      <c r="D9" s="32">
        <v>100345</v>
      </c>
      <c r="E9" s="30">
        <v>1350</v>
      </c>
      <c r="F9" s="30">
        <v>400000</v>
      </c>
      <c r="G9" s="30">
        <v>194000</v>
      </c>
      <c r="H9" s="30">
        <v>194000</v>
      </c>
      <c r="I9" s="30">
        <v>1189</v>
      </c>
      <c r="J9" s="30">
        <v>300000</v>
      </c>
      <c r="K9" s="30">
        <v>210000</v>
      </c>
      <c r="L9" s="30">
        <v>210000</v>
      </c>
      <c r="M9" s="30">
        <v>676</v>
      </c>
      <c r="N9" s="28">
        <v>150000</v>
      </c>
      <c r="O9" s="28">
        <v>215441</v>
      </c>
      <c r="P9" s="28">
        <v>215441</v>
      </c>
      <c r="Q9" s="30"/>
      <c r="R9" s="28">
        <v>260000</v>
      </c>
      <c r="S9" s="28"/>
      <c r="T9" s="28">
        <v>60000</v>
      </c>
      <c r="U9" s="43" t="s">
        <v>49</v>
      </c>
    </row>
    <row r="10" spans="1:21" ht="15.75" x14ac:dyDescent="0.25">
      <c r="A10" s="37" t="s">
        <v>94</v>
      </c>
      <c r="B10" s="37"/>
      <c r="C10" s="37"/>
      <c r="D10" s="32">
        <v>19609</v>
      </c>
      <c r="E10" s="30">
        <v>296</v>
      </c>
      <c r="F10" s="30">
        <v>30000</v>
      </c>
      <c r="G10" s="30">
        <v>10000</v>
      </c>
      <c r="H10" s="30">
        <v>10000</v>
      </c>
      <c r="I10" s="30">
        <v>7578</v>
      </c>
      <c r="J10" s="30">
        <v>220000</v>
      </c>
      <c r="K10" s="30"/>
      <c r="L10" s="30"/>
      <c r="M10" s="30"/>
      <c r="N10" s="28">
        <v>50000</v>
      </c>
      <c r="O10" s="28">
        <v>20000</v>
      </c>
      <c r="P10" s="28">
        <v>20000</v>
      </c>
      <c r="Q10" s="30"/>
      <c r="R10" s="28">
        <v>40000</v>
      </c>
      <c r="S10" s="28"/>
      <c r="T10" s="28">
        <v>40000</v>
      </c>
      <c r="U10" s="43" t="s">
        <v>49</v>
      </c>
    </row>
    <row r="11" spans="1:21" ht="15.75" x14ac:dyDescent="0.25">
      <c r="A11" s="37" t="s">
        <v>56</v>
      </c>
      <c r="B11" s="37"/>
      <c r="C11" s="37"/>
      <c r="D11" s="32"/>
      <c r="E11" s="30">
        <v>9809</v>
      </c>
      <c r="F11" s="30">
        <v>30000</v>
      </c>
      <c r="G11" s="30">
        <v>10000</v>
      </c>
      <c r="H11" s="30">
        <v>10000</v>
      </c>
      <c r="I11" s="30"/>
      <c r="J11" s="30">
        <v>30000</v>
      </c>
      <c r="K11" s="30"/>
      <c r="L11" s="30"/>
      <c r="M11" s="30"/>
      <c r="N11" s="28">
        <v>20000</v>
      </c>
      <c r="O11" s="28">
        <v>10000</v>
      </c>
      <c r="P11" s="28">
        <v>10000</v>
      </c>
      <c r="Q11" s="30"/>
      <c r="R11" s="28">
        <v>20000</v>
      </c>
      <c r="S11" s="28"/>
      <c r="T11" s="28">
        <v>20000</v>
      </c>
      <c r="U11" s="43" t="s">
        <v>51</v>
      </c>
    </row>
    <row r="12" spans="1:21" ht="15.75" x14ac:dyDescent="0.25">
      <c r="A12" s="37" t="s">
        <v>46</v>
      </c>
      <c r="B12" s="37"/>
      <c r="C12" s="37"/>
      <c r="D12" s="28"/>
      <c r="E12" s="30"/>
      <c r="F12" s="30"/>
      <c r="G12" s="30"/>
      <c r="H12" s="30"/>
      <c r="I12" s="30"/>
      <c r="J12" s="30"/>
      <c r="K12" s="30"/>
      <c r="L12" s="30"/>
      <c r="M12" s="30"/>
      <c r="N12" s="28"/>
      <c r="O12" s="28"/>
      <c r="P12" s="28"/>
      <c r="Q12" s="30"/>
      <c r="R12" s="28"/>
      <c r="S12" s="28"/>
      <c r="T12" s="28"/>
      <c r="U12" s="43"/>
    </row>
    <row r="13" spans="1:21" ht="15.75" x14ac:dyDescent="0.25">
      <c r="A13" s="37" t="s">
        <v>62</v>
      </c>
      <c r="B13" s="37"/>
      <c r="C13" s="37"/>
      <c r="D13" s="32">
        <v>1056290</v>
      </c>
      <c r="E13" s="30">
        <v>232256</v>
      </c>
      <c r="F13" s="30"/>
      <c r="G13" s="30">
        <v>16828</v>
      </c>
      <c r="H13" s="30">
        <v>16828</v>
      </c>
      <c r="I13" s="30"/>
      <c r="J13" s="30"/>
      <c r="K13" s="30"/>
      <c r="L13" s="30"/>
      <c r="M13" s="30"/>
      <c r="N13" s="28"/>
      <c r="O13" s="28"/>
      <c r="P13" s="28"/>
      <c r="Q13" s="30"/>
      <c r="R13" s="28"/>
      <c r="S13" s="28"/>
      <c r="T13" s="28"/>
      <c r="U13" s="43"/>
    </row>
    <row r="14" spans="1:21" ht="15.75" x14ac:dyDescent="0.25">
      <c r="A14" s="37" t="s">
        <v>63</v>
      </c>
      <c r="B14" s="37"/>
      <c r="C14" s="37"/>
      <c r="D14" s="28"/>
      <c r="E14" s="30">
        <v>178626</v>
      </c>
      <c r="F14" s="30">
        <v>50000</v>
      </c>
      <c r="G14" s="30">
        <v>174144</v>
      </c>
      <c r="H14" s="30">
        <v>174144</v>
      </c>
      <c r="I14" s="30"/>
      <c r="J14" s="30"/>
      <c r="K14" s="30"/>
      <c r="L14" s="30"/>
      <c r="M14" s="30">
        <v>452383</v>
      </c>
      <c r="N14" s="28"/>
      <c r="O14" s="28"/>
      <c r="P14" s="28"/>
      <c r="Q14" s="30"/>
      <c r="R14" s="28"/>
      <c r="S14" s="28"/>
      <c r="T14" s="28"/>
      <c r="U14" s="43" t="s">
        <v>50</v>
      </c>
    </row>
    <row r="15" spans="1:21" ht="15.75" x14ac:dyDescent="0.25">
      <c r="A15" s="37" t="s">
        <v>64</v>
      </c>
      <c r="B15" s="37"/>
      <c r="C15" s="37"/>
      <c r="D15" s="28"/>
      <c r="E15" s="30">
        <v>311369</v>
      </c>
      <c r="F15" s="30">
        <v>260614</v>
      </c>
      <c r="G15" s="30">
        <v>262831</v>
      </c>
      <c r="H15" s="30">
        <v>262831</v>
      </c>
      <c r="I15" s="30">
        <v>303394</v>
      </c>
      <c r="J15" s="30">
        <v>112000</v>
      </c>
      <c r="K15" s="30">
        <v>315000</v>
      </c>
      <c r="L15" s="30">
        <v>315000</v>
      </c>
      <c r="M15" s="30">
        <v>163139</v>
      </c>
      <c r="N15" s="28"/>
      <c r="O15" s="28"/>
      <c r="P15" s="28"/>
      <c r="Q15" s="30"/>
      <c r="R15" s="28"/>
      <c r="S15" s="28"/>
      <c r="T15" s="28"/>
      <c r="U15" s="43" t="s">
        <v>50</v>
      </c>
    </row>
    <row r="16" spans="1:21" ht="15.75" x14ac:dyDescent="0.25">
      <c r="A16" s="37" t="s">
        <v>77</v>
      </c>
      <c r="B16" s="37"/>
      <c r="C16" s="37"/>
      <c r="D16" s="28"/>
      <c r="E16" s="33"/>
      <c r="F16" s="33">
        <v>20000</v>
      </c>
      <c r="G16" s="33">
        <v>25000</v>
      </c>
      <c r="H16" s="33">
        <v>25000</v>
      </c>
      <c r="I16" s="33"/>
      <c r="J16" s="33">
        <v>10000</v>
      </c>
      <c r="K16" s="33"/>
      <c r="L16" s="33"/>
      <c r="M16" s="33"/>
      <c r="N16" s="28"/>
      <c r="O16" s="28"/>
      <c r="P16" s="28"/>
      <c r="Q16" s="33"/>
      <c r="R16" s="28"/>
      <c r="S16" s="28"/>
      <c r="T16" s="28">
        <v>30000</v>
      </c>
      <c r="U16" s="27">
        <v>4</v>
      </c>
    </row>
    <row r="17" spans="1:21" ht="15.75" x14ac:dyDescent="0.25">
      <c r="A17" s="37" t="s">
        <v>76</v>
      </c>
      <c r="B17" s="37"/>
      <c r="C17" s="37"/>
      <c r="D17" s="28"/>
      <c r="E17" s="33"/>
      <c r="F17" s="33">
        <v>400000</v>
      </c>
      <c r="G17" s="33"/>
      <c r="H17" s="33"/>
      <c r="I17" s="33"/>
      <c r="J17" s="33">
        <v>1800000</v>
      </c>
      <c r="K17" s="33">
        <v>574000</v>
      </c>
      <c r="L17" s="33">
        <v>574000</v>
      </c>
      <c r="M17" s="33">
        <v>257774</v>
      </c>
      <c r="N17" s="28">
        <v>1200000</v>
      </c>
      <c r="O17" s="28">
        <v>1122198</v>
      </c>
      <c r="P17" s="28">
        <v>1122198</v>
      </c>
      <c r="Q17" s="33">
        <v>910656</v>
      </c>
      <c r="R17" s="28"/>
      <c r="S17" s="28"/>
      <c r="T17" s="28"/>
      <c r="U17" s="27">
        <v>2</v>
      </c>
    </row>
    <row r="18" spans="1:21" ht="15.75" x14ac:dyDescent="0.25">
      <c r="A18" s="37" t="s">
        <v>80</v>
      </c>
      <c r="B18" s="37"/>
      <c r="C18" s="37"/>
      <c r="D18" s="28"/>
      <c r="E18" s="33"/>
      <c r="F18" s="33"/>
      <c r="G18" s="33"/>
      <c r="H18" s="33"/>
      <c r="I18" s="33"/>
      <c r="J18" s="33">
        <v>40000</v>
      </c>
      <c r="K18" s="33"/>
      <c r="L18" s="33"/>
      <c r="M18" s="33"/>
      <c r="N18" s="28"/>
      <c r="O18" s="28"/>
      <c r="P18" s="28"/>
      <c r="Q18" s="33"/>
      <c r="R18" s="28"/>
      <c r="S18" s="28"/>
      <c r="T18" s="28"/>
      <c r="U18" s="27">
        <v>2</v>
      </c>
    </row>
    <row r="19" spans="1:21" ht="15.75" x14ac:dyDescent="0.25">
      <c r="A19" s="37" t="s">
        <v>93</v>
      </c>
      <c r="B19" s="37"/>
      <c r="C19" s="37"/>
      <c r="D19" s="28"/>
      <c r="E19" s="33"/>
      <c r="F19" s="33"/>
      <c r="G19" s="33"/>
      <c r="H19" s="33"/>
      <c r="I19" s="33"/>
      <c r="J19" s="33">
        <v>60000</v>
      </c>
      <c r="K19" s="33"/>
      <c r="L19" s="33"/>
      <c r="M19" s="33"/>
      <c r="N19" s="28">
        <v>324000</v>
      </c>
      <c r="O19" s="28"/>
      <c r="P19" s="28"/>
      <c r="Q19" s="33"/>
      <c r="R19" s="28"/>
      <c r="S19" s="28"/>
      <c r="T19" s="28"/>
      <c r="U19" s="27">
        <v>2</v>
      </c>
    </row>
    <row r="20" spans="1:21" ht="15.75" x14ac:dyDescent="0.25">
      <c r="A20" s="37" t="s">
        <v>84</v>
      </c>
      <c r="B20" s="37"/>
      <c r="C20" s="37"/>
      <c r="D20" s="28"/>
      <c r="E20" s="33"/>
      <c r="F20" s="33"/>
      <c r="G20" s="33">
        <v>15000</v>
      </c>
      <c r="H20" s="33">
        <v>15000</v>
      </c>
      <c r="I20" s="33"/>
      <c r="J20" s="33">
        <v>100000</v>
      </c>
      <c r="K20" s="33">
        <v>10000</v>
      </c>
      <c r="L20" s="33">
        <v>10000</v>
      </c>
      <c r="M20" s="33"/>
      <c r="N20" s="28">
        <v>100000</v>
      </c>
      <c r="O20" s="28">
        <v>100000</v>
      </c>
      <c r="P20" s="28">
        <v>100000</v>
      </c>
      <c r="Q20" s="33"/>
      <c r="R20" s="28">
        <v>250000</v>
      </c>
      <c r="S20" s="28">
        <v>69500</v>
      </c>
      <c r="T20" s="28">
        <v>200000</v>
      </c>
      <c r="U20" s="27">
        <v>5</v>
      </c>
    </row>
    <row r="21" spans="1:21" ht="15.75" x14ac:dyDescent="0.25">
      <c r="A21" s="37" t="s">
        <v>82</v>
      </c>
      <c r="B21" s="37"/>
      <c r="C21" s="37"/>
      <c r="D21" s="28"/>
      <c r="E21" s="33"/>
      <c r="F21" s="33"/>
      <c r="G21" s="33"/>
      <c r="H21" s="33"/>
      <c r="I21" s="33"/>
      <c r="J21" s="33">
        <v>100000</v>
      </c>
      <c r="K21" s="33"/>
      <c r="L21" s="33"/>
      <c r="M21" s="33"/>
      <c r="N21" s="28"/>
      <c r="O21" s="28"/>
      <c r="P21" s="28"/>
      <c r="Q21" s="33"/>
      <c r="R21" s="28"/>
      <c r="S21" s="28"/>
      <c r="T21" s="28"/>
      <c r="U21" s="27">
        <v>2</v>
      </c>
    </row>
    <row r="22" spans="1:21" ht="15.75" x14ac:dyDescent="0.25">
      <c r="A22" s="37" t="s">
        <v>90</v>
      </c>
      <c r="B22" s="37"/>
      <c r="C22" s="37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28">
        <v>300000</v>
      </c>
      <c r="O22" s="28"/>
      <c r="P22" s="28"/>
      <c r="Q22" s="33"/>
      <c r="R22" s="28">
        <v>145000</v>
      </c>
      <c r="S22" s="28">
        <v>78069</v>
      </c>
      <c r="T22" s="28">
        <v>300000</v>
      </c>
      <c r="U22" s="27">
        <v>2</v>
      </c>
    </row>
    <row r="23" spans="1:21" ht="15.75" x14ac:dyDescent="0.25">
      <c r="A23" s="37" t="s">
        <v>91</v>
      </c>
      <c r="B23" s="37"/>
      <c r="C23" s="37"/>
      <c r="D23" s="28"/>
      <c r="E23" s="33"/>
      <c r="F23" s="33"/>
      <c r="G23" s="33"/>
      <c r="H23" s="33"/>
      <c r="I23" s="33"/>
      <c r="J23" s="33"/>
      <c r="K23" s="33"/>
      <c r="L23" s="33"/>
      <c r="M23" s="33"/>
      <c r="N23" s="28">
        <v>400000</v>
      </c>
      <c r="O23" s="28"/>
      <c r="P23" s="28"/>
      <c r="Q23" s="33"/>
      <c r="R23" s="28">
        <v>6395000</v>
      </c>
      <c r="S23" s="28"/>
      <c r="T23" s="28">
        <v>2848972</v>
      </c>
      <c r="U23" s="27">
        <v>2</v>
      </c>
    </row>
    <row r="24" spans="1:21" ht="15.75" x14ac:dyDescent="0.25">
      <c r="A24" s="37" t="s">
        <v>92</v>
      </c>
      <c r="B24" s="37"/>
      <c r="C24" s="37"/>
      <c r="D24" s="28"/>
      <c r="E24" s="33"/>
      <c r="F24" s="33"/>
      <c r="G24" s="33"/>
      <c r="H24" s="33"/>
      <c r="I24" s="33"/>
      <c r="J24" s="33"/>
      <c r="K24" s="33"/>
      <c r="L24" s="33"/>
      <c r="M24" s="33"/>
      <c r="N24" s="28">
        <v>650000</v>
      </c>
      <c r="O24" s="28"/>
      <c r="P24" s="28"/>
      <c r="Q24" s="33"/>
      <c r="R24" s="28"/>
      <c r="S24" s="28"/>
      <c r="T24" s="28">
        <v>300000</v>
      </c>
      <c r="U24" s="27">
        <v>1</v>
      </c>
    </row>
    <row r="25" spans="1:21" ht="15.75" x14ac:dyDescent="0.25">
      <c r="A25" s="37" t="s">
        <v>98</v>
      </c>
      <c r="B25" s="37"/>
      <c r="C25" s="37"/>
      <c r="D25" s="28"/>
      <c r="E25" s="33"/>
      <c r="F25" s="33"/>
      <c r="G25" s="33"/>
      <c r="H25" s="33"/>
      <c r="I25" s="33"/>
      <c r="J25" s="33"/>
      <c r="K25" s="33"/>
      <c r="L25" s="33"/>
      <c r="M25" s="33"/>
      <c r="N25" s="28"/>
      <c r="O25" s="28"/>
      <c r="P25" s="28"/>
      <c r="Q25" s="33"/>
      <c r="R25" s="33">
        <v>180000</v>
      </c>
      <c r="S25" s="28">
        <v>28919</v>
      </c>
      <c r="T25" s="33">
        <v>900000</v>
      </c>
      <c r="U25" s="27">
        <v>2</v>
      </c>
    </row>
    <row r="26" spans="1:21" ht="15.75" x14ac:dyDescent="0.25">
      <c r="A26" s="37" t="s">
        <v>99</v>
      </c>
      <c r="B26" s="37"/>
      <c r="C26" s="37"/>
      <c r="D26" s="28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28"/>
      <c r="Q26" s="33"/>
      <c r="R26" s="33">
        <v>105000</v>
      </c>
      <c r="S26" s="28">
        <v>115071</v>
      </c>
      <c r="T26" s="33">
        <v>60000</v>
      </c>
      <c r="U26" s="27">
        <v>6</v>
      </c>
    </row>
    <row r="27" spans="1:21" ht="15.75" x14ac:dyDescent="0.25">
      <c r="A27" s="37"/>
      <c r="B27" s="37"/>
      <c r="C27" s="37"/>
      <c r="D27" s="28"/>
      <c r="E27" s="33"/>
      <c r="F27" s="33"/>
      <c r="G27" s="33"/>
      <c r="H27" s="33"/>
      <c r="I27" s="33"/>
      <c r="J27" s="33"/>
      <c r="K27" s="33"/>
      <c r="L27" s="33"/>
      <c r="M27" s="33"/>
      <c r="N27" s="28"/>
      <c r="O27" s="28"/>
      <c r="P27" s="28"/>
      <c r="Q27" s="33"/>
      <c r="R27" s="34"/>
      <c r="S27" s="28"/>
      <c r="T27" s="34"/>
      <c r="U27" s="15"/>
    </row>
    <row r="28" spans="1:21" ht="15.75" x14ac:dyDescent="0.25">
      <c r="A28" s="37"/>
      <c r="B28" s="37"/>
      <c r="C28" s="37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28"/>
      <c r="O28" s="28"/>
      <c r="P28" s="28"/>
      <c r="Q28" s="33"/>
      <c r="R28" s="34"/>
      <c r="S28" s="28"/>
      <c r="T28" s="34"/>
      <c r="U28" s="2"/>
    </row>
    <row r="29" spans="1:21" ht="15.75" x14ac:dyDescent="0.25">
      <c r="A29" s="37"/>
      <c r="B29" s="37"/>
      <c r="C29" s="37"/>
      <c r="D29" s="28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28"/>
      <c r="Q29" s="33"/>
      <c r="R29" s="34"/>
      <c r="S29" s="28"/>
      <c r="T29" s="34"/>
      <c r="U29" s="2"/>
    </row>
    <row r="30" spans="1:21" ht="15.75" x14ac:dyDescent="0.25">
      <c r="A30" s="3" t="s">
        <v>67</v>
      </c>
      <c r="B30" s="3"/>
      <c r="C30" s="3"/>
      <c r="D30" s="35">
        <f>SUM(D4:D16)</f>
        <v>1211776</v>
      </c>
      <c r="E30" s="35">
        <f>SUM(E4:E16)</f>
        <v>924736</v>
      </c>
      <c r="F30" s="35">
        <f>SUM(F4:F17)</f>
        <v>1240614</v>
      </c>
      <c r="G30" s="35">
        <f>SUM(G6:G21)</f>
        <v>778470</v>
      </c>
      <c r="H30" s="35">
        <f>SUM(H6:H21)</f>
        <v>778470</v>
      </c>
      <c r="I30" s="35">
        <f>SUM(I4:I21)</f>
        <v>312161</v>
      </c>
      <c r="J30" s="35">
        <f>SUM(J6:J21)</f>
        <v>2802000</v>
      </c>
      <c r="K30" s="36">
        <f>SUM(K7:K21)</f>
        <v>1119000</v>
      </c>
      <c r="L30" s="36">
        <f>SUM(L7:L21)</f>
        <v>1119000</v>
      </c>
      <c r="M30" s="36">
        <v>884172</v>
      </c>
      <c r="N30" s="35">
        <f t="shared" ref="N30:T30" si="0">SUM(N4:N29)</f>
        <v>3234000</v>
      </c>
      <c r="O30" s="35">
        <f t="shared" si="0"/>
        <v>1467639</v>
      </c>
      <c r="P30" s="35">
        <f t="shared" si="0"/>
        <v>1467639</v>
      </c>
      <c r="Q30" s="35">
        <f t="shared" si="0"/>
        <v>910656</v>
      </c>
      <c r="R30" s="35">
        <f t="shared" si="0"/>
        <v>7415000</v>
      </c>
      <c r="S30" s="35">
        <f t="shared" si="0"/>
        <v>292669</v>
      </c>
      <c r="T30" s="35">
        <f t="shared" si="0"/>
        <v>4778972</v>
      </c>
      <c r="U30" s="2"/>
    </row>
    <row r="31" spans="1:21" ht="14.25" x14ac:dyDescent="0.2">
      <c r="A31" s="13"/>
      <c r="B31" s="13"/>
      <c r="C31" s="13"/>
      <c r="D31" s="2"/>
      <c r="E31" s="2"/>
      <c r="F31" s="2"/>
      <c r="G31" s="2"/>
      <c r="H31" s="2"/>
      <c r="I31" s="2"/>
      <c r="J31" s="2"/>
      <c r="K31" s="2"/>
    </row>
    <row r="32" spans="1:21" ht="15" x14ac:dyDescent="0.25">
      <c r="A32" s="16"/>
      <c r="B32" s="17"/>
      <c r="C32" s="17"/>
      <c r="D32" s="2"/>
      <c r="E32" s="2"/>
      <c r="F32" s="2"/>
      <c r="G32" s="2"/>
      <c r="H32" s="2"/>
      <c r="I32" s="2"/>
      <c r="J32" s="2"/>
      <c r="K32" s="2"/>
    </row>
    <row r="33" spans="1:11" ht="15" x14ac:dyDescent="0.25">
      <c r="A33" s="16"/>
      <c r="B33" s="17"/>
      <c r="C33" s="17"/>
      <c r="D33" s="2"/>
      <c r="E33" s="2"/>
      <c r="F33" s="2"/>
      <c r="G33" s="2"/>
      <c r="H33" s="2"/>
      <c r="I33" s="2"/>
      <c r="J33" s="2"/>
      <c r="K33" s="2"/>
    </row>
    <row r="34" spans="1:11" ht="15" x14ac:dyDescent="0.25">
      <c r="A34" s="18"/>
      <c r="B34" s="14"/>
      <c r="C34" s="14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18"/>
      <c r="B35" s="14"/>
      <c r="C35" s="26" t="s">
        <v>107</v>
      </c>
      <c r="D35" s="37"/>
      <c r="E35" s="2"/>
      <c r="F35" s="2"/>
      <c r="G35" s="2"/>
      <c r="H35" s="2"/>
      <c r="I35" s="2"/>
      <c r="J35" s="2"/>
      <c r="K35" s="2"/>
    </row>
    <row r="36" spans="1:11" ht="15.75" x14ac:dyDescent="0.25">
      <c r="A36" s="14"/>
      <c r="B36" s="15"/>
      <c r="C36" s="38"/>
      <c r="D36" s="37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39" t="s">
        <v>52</v>
      </c>
      <c r="D37" s="40">
        <f>T9+T10+T24</f>
        <v>400000</v>
      </c>
      <c r="E37" s="2"/>
      <c r="F37" s="2"/>
      <c r="G37" s="2"/>
      <c r="H37" s="2"/>
      <c r="I37" s="2"/>
      <c r="J37" s="2"/>
      <c r="K37" s="2"/>
    </row>
    <row r="38" spans="1:11" ht="15.75" x14ac:dyDescent="0.25">
      <c r="A38" s="14"/>
      <c r="B38" s="19"/>
      <c r="C38" s="41" t="s">
        <v>53</v>
      </c>
      <c r="D38" s="40">
        <f>T6+T14+T15+T17+T18+T19+T21+T22+T23+T25</f>
        <v>4048972</v>
      </c>
      <c r="E38" s="2"/>
      <c r="F38" s="2"/>
      <c r="G38" s="2"/>
      <c r="H38" s="2"/>
      <c r="I38" s="2"/>
      <c r="J38" s="2"/>
      <c r="K38" s="2"/>
    </row>
    <row r="39" spans="1:11" ht="15.75" x14ac:dyDescent="0.25">
      <c r="A39" s="14"/>
      <c r="B39" s="19"/>
      <c r="C39" s="41" t="s">
        <v>54</v>
      </c>
      <c r="D39" s="40">
        <f>T7+T11</f>
        <v>30000</v>
      </c>
      <c r="E39" s="2"/>
      <c r="F39" s="2"/>
      <c r="G39" s="2"/>
      <c r="H39" s="2"/>
      <c r="I39" s="2"/>
      <c r="J39" s="2"/>
      <c r="K39" s="2"/>
    </row>
    <row r="40" spans="1:11" ht="15.75" x14ac:dyDescent="0.25">
      <c r="A40" s="14"/>
      <c r="B40" s="19"/>
      <c r="C40" s="41" t="s">
        <v>55</v>
      </c>
      <c r="D40" s="40">
        <f>T8+T16</f>
        <v>40000</v>
      </c>
      <c r="E40" s="2"/>
      <c r="F40" s="2"/>
      <c r="G40" s="2"/>
      <c r="H40" s="2"/>
      <c r="I40" s="2"/>
      <c r="J40" s="2"/>
      <c r="K40" s="2"/>
    </row>
    <row r="41" spans="1:11" ht="15.75" x14ac:dyDescent="0.25">
      <c r="A41" s="14"/>
      <c r="B41" s="19"/>
      <c r="C41" s="41" t="s">
        <v>83</v>
      </c>
      <c r="D41" s="40">
        <f>T20</f>
        <v>200000</v>
      </c>
      <c r="E41" s="2"/>
      <c r="F41" s="2"/>
      <c r="G41" s="2"/>
      <c r="H41" s="2"/>
      <c r="I41" s="2"/>
      <c r="J41" s="2"/>
      <c r="K41" s="2"/>
    </row>
    <row r="42" spans="1:11" ht="15.75" x14ac:dyDescent="0.25">
      <c r="A42" s="14"/>
      <c r="B42" s="19"/>
      <c r="C42" s="41" t="s">
        <v>100</v>
      </c>
      <c r="D42" s="40">
        <f>T26</f>
        <v>60000</v>
      </c>
      <c r="E42" s="2"/>
      <c r="F42" s="2"/>
      <c r="G42" s="2"/>
      <c r="H42" s="2"/>
      <c r="I42" s="2"/>
      <c r="J42" s="2"/>
      <c r="K42" s="2"/>
    </row>
    <row r="43" spans="1:11" ht="15.75" x14ac:dyDescent="0.25">
      <c r="A43" s="14"/>
      <c r="B43" s="19"/>
      <c r="C43" s="41" t="s">
        <v>69</v>
      </c>
      <c r="D43" s="42">
        <f>SUM(D37:D42)</f>
        <v>4778972</v>
      </c>
      <c r="E43" s="2"/>
      <c r="F43" s="2"/>
      <c r="G43" s="2"/>
      <c r="H43" s="2"/>
      <c r="I43" s="2"/>
      <c r="J43" s="2"/>
      <c r="K43" s="2"/>
    </row>
    <row r="44" spans="1:11" ht="15.75" x14ac:dyDescent="0.25">
      <c r="A44" s="26"/>
      <c r="B44" s="19"/>
      <c r="C44" s="20"/>
      <c r="D44" s="2"/>
      <c r="E44" s="2"/>
      <c r="F44" s="2"/>
      <c r="G44" s="2"/>
      <c r="H44" s="2"/>
      <c r="I44" s="2"/>
      <c r="J44" s="2"/>
      <c r="K44" s="2"/>
    </row>
    <row r="47" spans="1:11" ht="15" x14ac:dyDescent="0.25">
      <c r="B47" s="14"/>
      <c r="C47" s="2"/>
    </row>
    <row r="48" spans="1:11" ht="14.25" x14ac:dyDescent="0.2">
      <c r="B48" s="2"/>
      <c r="C48" s="2"/>
    </row>
    <row r="49" spans="1:3" ht="15" x14ac:dyDescent="0.25">
      <c r="A49" s="14"/>
      <c r="B49" s="19"/>
      <c r="C49" s="2"/>
    </row>
    <row r="50" spans="1:3" ht="15" x14ac:dyDescent="0.25">
      <c r="A50" s="14"/>
      <c r="B50" s="19"/>
      <c r="C50" s="2"/>
    </row>
    <row r="51" spans="1:3" ht="15" x14ac:dyDescent="0.25">
      <c r="A51" s="14"/>
      <c r="B51" s="19"/>
      <c r="C51" s="2"/>
    </row>
    <row r="52" spans="1:3" ht="15" x14ac:dyDescent="0.25">
      <c r="A52" s="14"/>
      <c r="B52" s="19"/>
      <c r="C52" s="2"/>
    </row>
    <row r="53" spans="1:3" ht="15" x14ac:dyDescent="0.25">
      <c r="A53" s="14"/>
      <c r="B53" s="19"/>
      <c r="C53" s="2"/>
    </row>
    <row r="54" spans="1:3" ht="15" x14ac:dyDescent="0.25">
      <c r="A54" s="14"/>
      <c r="B54" s="19"/>
      <c r="C54" s="2"/>
    </row>
  </sheetData>
  <pageMargins left="0.25" right="0.25" top="1" bottom="0.5" header="0.4" footer="0.5"/>
  <pageSetup scale="64" orientation="landscape" r:id="rId1"/>
  <headerFooter>
    <oddHeader>&amp;L&amp;"Arial,Bold"&amp;14Exhibit A&amp;C&amp;"Arial,Bold"&amp;12City of Florida City
Community Redevlopment Agency
FY 2019-20 Proposed Budget
FY 2019-20 begins October 1,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="75" zoomScaleNormal="75" zoomScalePageLayoutView="75" workbookViewId="0">
      <pane xSplit="3" ySplit="3" topLeftCell="D4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D38" sqref="D38"/>
    </sheetView>
  </sheetViews>
  <sheetFormatPr defaultRowHeight="12.75" x14ac:dyDescent="0.2"/>
  <cols>
    <col min="1" max="1" width="14.85546875" customWidth="1"/>
    <col min="2" max="2" width="22.5703125" customWidth="1"/>
    <col min="3" max="3" width="14.5703125" customWidth="1"/>
    <col min="4" max="4" width="13.140625" customWidth="1"/>
    <col min="5" max="5" width="12.42578125" customWidth="1"/>
    <col min="6" max="8" width="12.42578125" hidden="1" customWidth="1"/>
    <col min="9" max="9" width="12.28515625" customWidth="1"/>
    <col min="10" max="10" width="12.42578125" hidden="1" customWidth="1"/>
    <col min="11" max="11" width="12.5703125" hidden="1" customWidth="1"/>
    <col min="12" max="12" width="13.28515625" hidden="1" customWidth="1"/>
    <col min="13" max="13" width="13.42578125" customWidth="1"/>
    <col min="14" max="14" width="14.42578125" hidden="1" customWidth="1"/>
    <col min="15" max="15" width="13.140625" hidden="1" customWidth="1"/>
    <col min="16" max="16" width="13.85546875" hidden="1" customWidth="1"/>
    <col min="17" max="18" width="13.42578125" customWidth="1"/>
    <col min="19" max="19" width="13.85546875" customWidth="1"/>
    <col min="20" max="20" width="13.42578125" customWidth="1"/>
  </cols>
  <sheetData>
    <row r="1" spans="1:21" s="1" customFormat="1" ht="15.75" x14ac:dyDescent="0.25">
      <c r="A1" s="12"/>
      <c r="B1" s="5" t="s">
        <v>2</v>
      </c>
      <c r="C1" s="6" t="s">
        <v>2</v>
      </c>
      <c r="D1" s="44" t="s">
        <v>71</v>
      </c>
      <c r="E1" s="44" t="s">
        <v>74</v>
      </c>
      <c r="F1" s="45" t="s">
        <v>75</v>
      </c>
      <c r="G1" s="44" t="s">
        <v>75</v>
      </c>
      <c r="H1" s="44" t="s">
        <v>75</v>
      </c>
      <c r="I1" s="44" t="s">
        <v>75</v>
      </c>
      <c r="J1" s="44" t="s">
        <v>79</v>
      </c>
      <c r="K1" s="46" t="s">
        <v>78</v>
      </c>
      <c r="L1" s="47" t="s">
        <v>78</v>
      </c>
      <c r="M1" s="47" t="s">
        <v>78</v>
      </c>
      <c r="N1" s="47" t="s">
        <v>89</v>
      </c>
      <c r="O1" s="44" t="s">
        <v>89</v>
      </c>
      <c r="P1" s="44" t="s">
        <v>89</v>
      </c>
      <c r="Q1" s="47" t="s">
        <v>89</v>
      </c>
      <c r="R1" s="44" t="s">
        <v>101</v>
      </c>
      <c r="S1" s="44" t="s">
        <v>101</v>
      </c>
      <c r="T1" s="44" t="s">
        <v>106</v>
      </c>
    </row>
    <row r="2" spans="1:21" s="1" customFormat="1" ht="15.75" x14ac:dyDescent="0.25">
      <c r="A2" s="4"/>
      <c r="B2" s="7"/>
      <c r="C2" s="8"/>
      <c r="D2" s="48" t="s">
        <v>0</v>
      </c>
      <c r="E2" s="48" t="s">
        <v>0</v>
      </c>
      <c r="F2" s="49" t="s">
        <v>0</v>
      </c>
      <c r="G2" s="48" t="s">
        <v>0</v>
      </c>
      <c r="H2" s="48" t="s">
        <v>0</v>
      </c>
      <c r="I2" s="48" t="s">
        <v>0</v>
      </c>
      <c r="J2" s="48" t="s">
        <v>0</v>
      </c>
      <c r="K2" s="46" t="s">
        <v>0</v>
      </c>
      <c r="L2" s="47" t="s">
        <v>0</v>
      </c>
      <c r="M2" s="47" t="s">
        <v>0</v>
      </c>
      <c r="N2" s="47" t="s">
        <v>0</v>
      </c>
      <c r="O2" s="48" t="s">
        <v>0</v>
      </c>
      <c r="P2" s="48" t="s">
        <v>0</v>
      </c>
      <c r="Q2" s="47" t="s">
        <v>0</v>
      </c>
      <c r="R2" s="48" t="s">
        <v>0</v>
      </c>
      <c r="S2" s="48" t="s">
        <v>0</v>
      </c>
      <c r="T2" s="48" t="s">
        <v>0</v>
      </c>
    </row>
    <row r="3" spans="1:21" s="1" customFormat="1" ht="15.75" x14ac:dyDescent="0.25">
      <c r="A3" s="9"/>
      <c r="B3" s="10"/>
      <c r="C3" s="11"/>
      <c r="D3" s="50" t="s">
        <v>1</v>
      </c>
      <c r="E3" s="51" t="s">
        <v>1</v>
      </c>
      <c r="F3" s="52" t="s">
        <v>3</v>
      </c>
      <c r="G3" s="51" t="s">
        <v>73</v>
      </c>
      <c r="H3" s="51" t="s">
        <v>85</v>
      </c>
      <c r="I3" s="51" t="s">
        <v>1</v>
      </c>
      <c r="J3" s="51" t="s">
        <v>3</v>
      </c>
      <c r="K3" s="46" t="s">
        <v>73</v>
      </c>
      <c r="L3" s="53" t="s">
        <v>85</v>
      </c>
      <c r="M3" s="53" t="s">
        <v>1</v>
      </c>
      <c r="N3" s="53" t="s">
        <v>3</v>
      </c>
      <c r="O3" s="51" t="s">
        <v>73</v>
      </c>
      <c r="P3" s="51" t="s">
        <v>85</v>
      </c>
      <c r="Q3" s="53" t="s">
        <v>1</v>
      </c>
      <c r="R3" s="51" t="s">
        <v>96</v>
      </c>
      <c r="S3" s="51" t="s">
        <v>85</v>
      </c>
      <c r="T3" s="51" t="s">
        <v>96</v>
      </c>
    </row>
    <row r="4" spans="1:21" ht="15.75" x14ac:dyDescent="0.25">
      <c r="A4" s="26" t="s">
        <v>8</v>
      </c>
      <c r="B4" s="37"/>
      <c r="C4" s="37"/>
      <c r="D4" s="28"/>
      <c r="E4" s="29"/>
      <c r="F4" s="29"/>
      <c r="G4" s="29"/>
      <c r="H4" s="29"/>
      <c r="I4" s="29"/>
      <c r="J4" s="29"/>
      <c r="K4" s="29"/>
      <c r="L4" s="29"/>
      <c r="M4" s="29"/>
      <c r="N4" s="28"/>
      <c r="O4" s="28"/>
      <c r="P4" s="28"/>
      <c r="Q4" s="29"/>
      <c r="R4" s="28"/>
      <c r="S4" s="28"/>
      <c r="T4" s="28"/>
    </row>
    <row r="5" spans="1:21" ht="15" x14ac:dyDescent="0.2">
      <c r="A5" s="37"/>
      <c r="B5" s="37"/>
      <c r="C5" s="37"/>
      <c r="D5" s="28"/>
      <c r="E5" s="29"/>
      <c r="F5" s="29"/>
      <c r="G5" s="29"/>
      <c r="H5" s="29"/>
      <c r="I5" s="29"/>
      <c r="J5" s="29"/>
      <c r="K5" s="29"/>
      <c r="L5" s="29"/>
      <c r="M5" s="29"/>
      <c r="N5" s="28"/>
      <c r="O5" s="28"/>
      <c r="P5" s="28"/>
      <c r="Q5" s="29"/>
      <c r="R5" s="28"/>
      <c r="S5" s="28"/>
      <c r="T5" s="28"/>
      <c r="U5" s="37"/>
    </row>
    <row r="6" spans="1:21" ht="15.75" x14ac:dyDescent="0.25">
      <c r="A6" s="37" t="s">
        <v>72</v>
      </c>
      <c r="B6" s="37"/>
      <c r="C6" s="37"/>
      <c r="D6" s="28">
        <v>35532</v>
      </c>
      <c r="E6" s="30">
        <v>191030</v>
      </c>
      <c r="F6" s="30">
        <v>20000</v>
      </c>
      <c r="G6" s="30">
        <v>45667</v>
      </c>
      <c r="H6" s="30">
        <v>45667</v>
      </c>
      <c r="I6" s="30"/>
      <c r="J6" s="30"/>
      <c r="K6" s="31"/>
      <c r="L6" s="31"/>
      <c r="M6" s="31"/>
      <c r="N6" s="28"/>
      <c r="O6" s="28"/>
      <c r="P6" s="28"/>
      <c r="Q6" s="31"/>
      <c r="R6" s="28"/>
      <c r="S6" s="28"/>
      <c r="T6" s="28"/>
      <c r="U6" s="43" t="s">
        <v>50</v>
      </c>
    </row>
    <row r="7" spans="1:21" ht="15.75" x14ac:dyDescent="0.25">
      <c r="A7" s="37" t="s">
        <v>41</v>
      </c>
      <c r="B7" s="37"/>
      <c r="C7" s="37"/>
      <c r="D7" s="32"/>
      <c r="E7" s="30"/>
      <c r="F7" s="30">
        <v>20000</v>
      </c>
      <c r="G7" s="30"/>
      <c r="H7" s="30"/>
      <c r="I7" s="30"/>
      <c r="J7" s="30">
        <v>20000</v>
      </c>
      <c r="K7" s="30">
        <v>10000</v>
      </c>
      <c r="L7" s="30">
        <v>10000</v>
      </c>
      <c r="M7" s="30">
        <v>10000</v>
      </c>
      <c r="N7" s="28">
        <v>30000</v>
      </c>
      <c r="O7" s="28"/>
      <c r="P7" s="28"/>
      <c r="Q7" s="30"/>
      <c r="R7" s="28">
        <v>10000</v>
      </c>
      <c r="S7" s="28"/>
      <c r="T7" s="28">
        <v>10000</v>
      </c>
      <c r="U7" s="43" t="s">
        <v>51</v>
      </c>
    </row>
    <row r="8" spans="1:21" ht="15.75" x14ac:dyDescent="0.25">
      <c r="A8" s="37" t="s">
        <v>44</v>
      </c>
      <c r="B8" s="37"/>
      <c r="C8" s="37"/>
      <c r="D8" s="32"/>
      <c r="E8" s="30"/>
      <c r="F8" s="30">
        <v>10000</v>
      </c>
      <c r="G8" s="30">
        <v>25000</v>
      </c>
      <c r="H8" s="30">
        <v>25000</v>
      </c>
      <c r="I8" s="30"/>
      <c r="J8" s="30">
        <v>10000</v>
      </c>
      <c r="K8" s="30"/>
      <c r="L8" s="30"/>
      <c r="M8" s="30">
        <v>200</v>
      </c>
      <c r="N8" s="28">
        <v>10000</v>
      </c>
      <c r="O8" s="28"/>
      <c r="P8" s="28"/>
      <c r="Q8" s="30"/>
      <c r="R8" s="28">
        <v>10000</v>
      </c>
      <c r="S8" s="28">
        <v>1110</v>
      </c>
      <c r="T8" s="28">
        <v>10000</v>
      </c>
      <c r="U8" s="43">
        <v>4</v>
      </c>
    </row>
    <row r="9" spans="1:21" ht="15.75" x14ac:dyDescent="0.25">
      <c r="A9" s="37" t="s">
        <v>57</v>
      </c>
      <c r="B9" s="37"/>
      <c r="C9" s="37"/>
      <c r="D9" s="32">
        <v>100345</v>
      </c>
      <c r="E9" s="30">
        <v>1350</v>
      </c>
      <c r="F9" s="30">
        <v>400000</v>
      </c>
      <c r="G9" s="30">
        <v>194000</v>
      </c>
      <c r="H9" s="30">
        <v>194000</v>
      </c>
      <c r="I9" s="30">
        <v>1189</v>
      </c>
      <c r="J9" s="30">
        <v>300000</v>
      </c>
      <c r="K9" s="30">
        <v>210000</v>
      </c>
      <c r="L9" s="30">
        <v>210000</v>
      </c>
      <c r="M9" s="30">
        <v>676</v>
      </c>
      <c r="N9" s="28">
        <v>150000</v>
      </c>
      <c r="O9" s="28">
        <v>215441</v>
      </c>
      <c r="P9" s="28">
        <v>215441</v>
      </c>
      <c r="Q9" s="30"/>
      <c r="R9" s="28">
        <v>260000</v>
      </c>
      <c r="S9" s="28"/>
      <c r="T9" s="28">
        <v>60000</v>
      </c>
      <c r="U9" s="43" t="s">
        <v>49</v>
      </c>
    </row>
    <row r="10" spans="1:21" ht="15.75" x14ac:dyDescent="0.25">
      <c r="A10" s="37" t="s">
        <v>94</v>
      </c>
      <c r="B10" s="37"/>
      <c r="C10" s="37"/>
      <c r="D10" s="32">
        <v>19609</v>
      </c>
      <c r="E10" s="30">
        <v>296</v>
      </c>
      <c r="F10" s="30">
        <v>30000</v>
      </c>
      <c r="G10" s="30">
        <v>10000</v>
      </c>
      <c r="H10" s="30">
        <v>10000</v>
      </c>
      <c r="I10" s="30">
        <v>7578</v>
      </c>
      <c r="J10" s="30">
        <v>220000</v>
      </c>
      <c r="K10" s="30"/>
      <c r="L10" s="30"/>
      <c r="M10" s="30"/>
      <c r="N10" s="28">
        <v>50000</v>
      </c>
      <c r="O10" s="28">
        <v>20000</v>
      </c>
      <c r="P10" s="28">
        <v>20000</v>
      </c>
      <c r="Q10" s="30"/>
      <c r="R10" s="28">
        <v>40000</v>
      </c>
      <c r="S10" s="28"/>
      <c r="T10" s="28">
        <v>40000</v>
      </c>
      <c r="U10" s="43" t="s">
        <v>49</v>
      </c>
    </row>
    <row r="11" spans="1:21" ht="15.75" x14ac:dyDescent="0.25">
      <c r="A11" s="37" t="s">
        <v>56</v>
      </c>
      <c r="B11" s="37"/>
      <c r="C11" s="37"/>
      <c r="D11" s="32"/>
      <c r="E11" s="30">
        <v>9809</v>
      </c>
      <c r="F11" s="30">
        <v>30000</v>
      </c>
      <c r="G11" s="30">
        <v>10000</v>
      </c>
      <c r="H11" s="30">
        <v>10000</v>
      </c>
      <c r="I11" s="30"/>
      <c r="J11" s="30">
        <v>30000</v>
      </c>
      <c r="K11" s="30"/>
      <c r="L11" s="30"/>
      <c r="M11" s="30"/>
      <c r="N11" s="28">
        <v>20000</v>
      </c>
      <c r="O11" s="28">
        <v>10000</v>
      </c>
      <c r="P11" s="28">
        <v>10000</v>
      </c>
      <c r="Q11" s="30"/>
      <c r="R11" s="28">
        <v>20000</v>
      </c>
      <c r="S11" s="28"/>
      <c r="T11" s="28">
        <v>20000</v>
      </c>
      <c r="U11" s="43" t="s">
        <v>51</v>
      </c>
    </row>
    <row r="12" spans="1:21" ht="15.75" x14ac:dyDescent="0.25">
      <c r="A12" s="37" t="s">
        <v>46</v>
      </c>
      <c r="B12" s="37"/>
      <c r="C12" s="37"/>
      <c r="D12" s="28"/>
      <c r="E12" s="30"/>
      <c r="F12" s="30"/>
      <c r="G12" s="30"/>
      <c r="H12" s="30"/>
      <c r="I12" s="30"/>
      <c r="J12" s="30"/>
      <c r="K12" s="30"/>
      <c r="L12" s="30"/>
      <c r="M12" s="30"/>
      <c r="N12" s="28"/>
      <c r="O12" s="28"/>
      <c r="P12" s="28"/>
      <c r="Q12" s="30"/>
      <c r="R12" s="28"/>
      <c r="S12" s="28"/>
      <c r="T12" s="28"/>
      <c r="U12" s="43"/>
    </row>
    <row r="13" spans="1:21" ht="15.75" x14ac:dyDescent="0.25">
      <c r="A13" s="37" t="s">
        <v>62</v>
      </c>
      <c r="B13" s="37"/>
      <c r="C13" s="37"/>
      <c r="D13" s="32">
        <v>1056290</v>
      </c>
      <c r="E13" s="30">
        <v>232256</v>
      </c>
      <c r="F13" s="30"/>
      <c r="G13" s="30">
        <v>16828</v>
      </c>
      <c r="H13" s="30">
        <v>16828</v>
      </c>
      <c r="I13" s="30"/>
      <c r="J13" s="30"/>
      <c r="K13" s="30"/>
      <c r="L13" s="30"/>
      <c r="M13" s="30"/>
      <c r="N13" s="28"/>
      <c r="O13" s="28"/>
      <c r="P13" s="28"/>
      <c r="Q13" s="30"/>
      <c r="R13" s="28"/>
      <c r="S13" s="28"/>
      <c r="T13" s="28"/>
      <c r="U13" s="43"/>
    </row>
    <row r="14" spans="1:21" ht="15.75" x14ac:dyDescent="0.25">
      <c r="A14" s="37" t="s">
        <v>63</v>
      </c>
      <c r="B14" s="37"/>
      <c r="C14" s="37"/>
      <c r="D14" s="28"/>
      <c r="E14" s="30">
        <v>178626</v>
      </c>
      <c r="F14" s="30">
        <v>50000</v>
      </c>
      <c r="G14" s="30">
        <v>174144</v>
      </c>
      <c r="H14" s="30">
        <v>174144</v>
      </c>
      <c r="I14" s="30"/>
      <c r="J14" s="30"/>
      <c r="K14" s="30"/>
      <c r="L14" s="30"/>
      <c r="M14" s="30">
        <v>452383</v>
      </c>
      <c r="N14" s="28"/>
      <c r="O14" s="28"/>
      <c r="P14" s="28"/>
      <c r="Q14" s="30"/>
      <c r="R14" s="28"/>
      <c r="S14" s="28"/>
      <c r="T14" s="28"/>
      <c r="U14" s="43" t="s">
        <v>50</v>
      </c>
    </row>
    <row r="15" spans="1:21" ht="15.75" x14ac:dyDescent="0.25">
      <c r="A15" s="37" t="s">
        <v>64</v>
      </c>
      <c r="B15" s="37"/>
      <c r="C15" s="37"/>
      <c r="D15" s="28"/>
      <c r="E15" s="30">
        <v>311369</v>
      </c>
      <c r="F15" s="30">
        <v>260614</v>
      </c>
      <c r="G15" s="30">
        <v>262831</v>
      </c>
      <c r="H15" s="30">
        <v>262831</v>
      </c>
      <c r="I15" s="30">
        <v>303394</v>
      </c>
      <c r="J15" s="30">
        <v>112000</v>
      </c>
      <c r="K15" s="30">
        <v>315000</v>
      </c>
      <c r="L15" s="30">
        <v>315000</v>
      </c>
      <c r="M15" s="30">
        <v>163139</v>
      </c>
      <c r="N15" s="28"/>
      <c r="O15" s="28"/>
      <c r="P15" s="28"/>
      <c r="Q15" s="30"/>
      <c r="R15" s="28"/>
      <c r="S15" s="28"/>
      <c r="T15" s="28"/>
      <c r="U15" s="43" t="s">
        <v>50</v>
      </c>
    </row>
    <row r="16" spans="1:21" ht="15.75" x14ac:dyDescent="0.25">
      <c r="A16" s="37" t="s">
        <v>77</v>
      </c>
      <c r="B16" s="37"/>
      <c r="C16" s="37"/>
      <c r="D16" s="28"/>
      <c r="E16" s="33"/>
      <c r="F16" s="33">
        <v>20000</v>
      </c>
      <c r="G16" s="33">
        <v>25000</v>
      </c>
      <c r="H16" s="33">
        <v>25000</v>
      </c>
      <c r="I16" s="33"/>
      <c r="J16" s="33">
        <v>10000</v>
      </c>
      <c r="K16" s="33"/>
      <c r="L16" s="33"/>
      <c r="M16" s="33"/>
      <c r="N16" s="28"/>
      <c r="O16" s="28"/>
      <c r="P16" s="28"/>
      <c r="Q16" s="33"/>
      <c r="R16" s="28"/>
      <c r="S16" s="28"/>
      <c r="T16" s="28">
        <v>30000</v>
      </c>
      <c r="U16" s="27">
        <v>4</v>
      </c>
    </row>
    <row r="17" spans="1:21" ht="15.75" x14ac:dyDescent="0.25">
      <c r="A17" s="37" t="s">
        <v>76</v>
      </c>
      <c r="B17" s="37"/>
      <c r="C17" s="37"/>
      <c r="D17" s="28"/>
      <c r="E17" s="33"/>
      <c r="F17" s="33">
        <v>400000</v>
      </c>
      <c r="G17" s="33"/>
      <c r="H17" s="33"/>
      <c r="I17" s="33"/>
      <c r="J17" s="33">
        <v>1800000</v>
      </c>
      <c r="K17" s="33">
        <v>574000</v>
      </c>
      <c r="L17" s="33">
        <v>574000</v>
      </c>
      <c r="M17" s="33">
        <v>257774</v>
      </c>
      <c r="N17" s="28">
        <v>1200000</v>
      </c>
      <c r="O17" s="28">
        <v>1122198</v>
      </c>
      <c r="P17" s="28">
        <v>1122198</v>
      </c>
      <c r="Q17" s="33">
        <v>910656</v>
      </c>
      <c r="R17" s="28"/>
      <c r="S17" s="28"/>
      <c r="T17" s="28"/>
      <c r="U17" s="27">
        <v>2</v>
      </c>
    </row>
    <row r="18" spans="1:21" ht="15.75" x14ac:dyDescent="0.25">
      <c r="A18" s="37" t="s">
        <v>80</v>
      </c>
      <c r="B18" s="37"/>
      <c r="C18" s="37"/>
      <c r="D18" s="28"/>
      <c r="E18" s="33"/>
      <c r="F18" s="33"/>
      <c r="G18" s="33"/>
      <c r="H18" s="33"/>
      <c r="I18" s="33"/>
      <c r="J18" s="33">
        <v>40000</v>
      </c>
      <c r="K18" s="33"/>
      <c r="L18" s="33"/>
      <c r="M18" s="33"/>
      <c r="N18" s="28"/>
      <c r="O18" s="28"/>
      <c r="P18" s="28"/>
      <c r="Q18" s="33"/>
      <c r="R18" s="28"/>
      <c r="S18" s="28"/>
      <c r="T18" s="28"/>
      <c r="U18" s="27">
        <v>2</v>
      </c>
    </row>
    <row r="19" spans="1:21" ht="15.75" x14ac:dyDescent="0.25">
      <c r="A19" s="37" t="s">
        <v>93</v>
      </c>
      <c r="B19" s="37"/>
      <c r="C19" s="37"/>
      <c r="D19" s="28"/>
      <c r="E19" s="33"/>
      <c r="F19" s="33"/>
      <c r="G19" s="33"/>
      <c r="H19" s="33"/>
      <c r="I19" s="33"/>
      <c r="J19" s="33">
        <v>60000</v>
      </c>
      <c r="K19" s="33"/>
      <c r="L19" s="33"/>
      <c r="M19" s="33"/>
      <c r="N19" s="28">
        <v>324000</v>
      </c>
      <c r="O19" s="28"/>
      <c r="P19" s="28"/>
      <c r="Q19" s="33"/>
      <c r="R19" s="28"/>
      <c r="S19" s="28"/>
      <c r="T19" s="28"/>
      <c r="U19" s="27">
        <v>2</v>
      </c>
    </row>
    <row r="20" spans="1:21" ht="15.75" x14ac:dyDescent="0.25">
      <c r="A20" s="37" t="s">
        <v>84</v>
      </c>
      <c r="B20" s="37"/>
      <c r="C20" s="37"/>
      <c r="D20" s="28"/>
      <c r="E20" s="33"/>
      <c r="F20" s="33"/>
      <c r="G20" s="33">
        <v>15000</v>
      </c>
      <c r="H20" s="33">
        <v>15000</v>
      </c>
      <c r="I20" s="33"/>
      <c r="J20" s="33">
        <v>100000</v>
      </c>
      <c r="K20" s="33">
        <v>10000</v>
      </c>
      <c r="L20" s="33">
        <v>10000</v>
      </c>
      <c r="M20" s="33"/>
      <c r="N20" s="28">
        <v>100000</v>
      </c>
      <c r="O20" s="28">
        <v>100000</v>
      </c>
      <c r="P20" s="28">
        <v>100000</v>
      </c>
      <c r="Q20" s="33"/>
      <c r="R20" s="28">
        <v>250000</v>
      </c>
      <c r="S20" s="28">
        <v>69500</v>
      </c>
      <c r="T20" s="28">
        <v>200000</v>
      </c>
      <c r="U20" s="27">
        <v>5</v>
      </c>
    </row>
    <row r="21" spans="1:21" ht="15.75" x14ac:dyDescent="0.25">
      <c r="A21" s="37" t="s">
        <v>82</v>
      </c>
      <c r="B21" s="37"/>
      <c r="C21" s="37"/>
      <c r="D21" s="28"/>
      <c r="E21" s="33"/>
      <c r="F21" s="33"/>
      <c r="G21" s="33"/>
      <c r="H21" s="33"/>
      <c r="I21" s="33"/>
      <c r="J21" s="33">
        <v>100000</v>
      </c>
      <c r="K21" s="33"/>
      <c r="L21" s="33"/>
      <c r="M21" s="33"/>
      <c r="N21" s="28"/>
      <c r="O21" s="28"/>
      <c r="P21" s="28"/>
      <c r="Q21" s="33"/>
      <c r="R21" s="28"/>
      <c r="S21" s="28"/>
      <c r="T21" s="28"/>
      <c r="U21" s="27">
        <v>2</v>
      </c>
    </row>
    <row r="22" spans="1:21" ht="15.75" x14ac:dyDescent="0.25">
      <c r="A22" s="37" t="s">
        <v>90</v>
      </c>
      <c r="B22" s="37"/>
      <c r="C22" s="37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28">
        <v>300000</v>
      </c>
      <c r="O22" s="28"/>
      <c r="P22" s="28"/>
      <c r="Q22" s="33"/>
      <c r="R22" s="28">
        <v>145000</v>
      </c>
      <c r="S22" s="28">
        <v>78069</v>
      </c>
      <c r="T22" s="28">
        <v>300000</v>
      </c>
      <c r="U22" s="27">
        <v>2</v>
      </c>
    </row>
    <row r="23" spans="1:21" ht="15.75" x14ac:dyDescent="0.25">
      <c r="A23" s="37" t="s">
        <v>91</v>
      </c>
      <c r="B23" s="37"/>
      <c r="C23" s="37"/>
      <c r="D23" s="28"/>
      <c r="E23" s="33"/>
      <c r="F23" s="33"/>
      <c r="G23" s="33"/>
      <c r="H23" s="33"/>
      <c r="I23" s="33"/>
      <c r="J23" s="33"/>
      <c r="K23" s="33"/>
      <c r="L23" s="33"/>
      <c r="M23" s="33"/>
      <c r="N23" s="28">
        <v>400000</v>
      </c>
      <c r="O23" s="28"/>
      <c r="P23" s="28"/>
      <c r="Q23" s="33"/>
      <c r="R23" s="28">
        <v>6395000</v>
      </c>
      <c r="S23" s="28"/>
      <c r="T23" s="28">
        <v>2848972</v>
      </c>
      <c r="U23" s="27">
        <v>2</v>
      </c>
    </row>
    <row r="24" spans="1:21" ht="15.75" x14ac:dyDescent="0.25">
      <c r="A24" s="37" t="s">
        <v>92</v>
      </c>
      <c r="B24" s="37"/>
      <c r="C24" s="37"/>
      <c r="D24" s="28"/>
      <c r="E24" s="33"/>
      <c r="F24" s="33"/>
      <c r="G24" s="33"/>
      <c r="H24" s="33"/>
      <c r="I24" s="33"/>
      <c r="J24" s="33"/>
      <c r="K24" s="33"/>
      <c r="L24" s="33"/>
      <c r="M24" s="33"/>
      <c r="N24" s="28">
        <v>650000</v>
      </c>
      <c r="O24" s="28"/>
      <c r="P24" s="28"/>
      <c r="Q24" s="33"/>
      <c r="R24" s="28"/>
      <c r="S24" s="28"/>
      <c r="T24" s="28">
        <v>300000</v>
      </c>
      <c r="U24" s="27">
        <v>1</v>
      </c>
    </row>
    <row r="25" spans="1:21" ht="15.75" x14ac:dyDescent="0.25">
      <c r="A25" s="37" t="s">
        <v>98</v>
      </c>
      <c r="B25" s="37"/>
      <c r="C25" s="37"/>
      <c r="D25" s="28"/>
      <c r="E25" s="33"/>
      <c r="F25" s="33"/>
      <c r="G25" s="33"/>
      <c r="H25" s="33"/>
      <c r="I25" s="33"/>
      <c r="J25" s="33"/>
      <c r="K25" s="33"/>
      <c r="L25" s="33"/>
      <c r="M25" s="33"/>
      <c r="N25" s="28"/>
      <c r="O25" s="28"/>
      <c r="P25" s="28"/>
      <c r="Q25" s="33"/>
      <c r="R25" s="33">
        <v>180000</v>
      </c>
      <c r="S25" s="28">
        <v>28919</v>
      </c>
      <c r="T25" s="33">
        <v>900000</v>
      </c>
      <c r="U25" s="27">
        <v>2</v>
      </c>
    </row>
    <row r="26" spans="1:21" ht="15.75" x14ac:dyDescent="0.25">
      <c r="A26" s="37" t="s">
        <v>99</v>
      </c>
      <c r="B26" s="37"/>
      <c r="C26" s="37"/>
      <c r="D26" s="28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28"/>
      <c r="Q26" s="33"/>
      <c r="R26" s="33">
        <v>105000</v>
      </c>
      <c r="S26" s="28">
        <v>115071</v>
      </c>
      <c r="T26" s="33">
        <v>60000</v>
      </c>
      <c r="U26" s="27">
        <v>6</v>
      </c>
    </row>
    <row r="27" spans="1:21" ht="15.75" x14ac:dyDescent="0.25">
      <c r="A27" s="37"/>
      <c r="B27" s="37"/>
      <c r="C27" s="37"/>
      <c r="D27" s="28"/>
      <c r="E27" s="33"/>
      <c r="F27" s="33"/>
      <c r="G27" s="33"/>
      <c r="H27" s="33"/>
      <c r="I27" s="33"/>
      <c r="J27" s="33"/>
      <c r="K27" s="33"/>
      <c r="L27" s="33"/>
      <c r="M27" s="33"/>
      <c r="N27" s="28"/>
      <c r="O27" s="28"/>
      <c r="P27" s="28"/>
      <c r="Q27" s="33"/>
      <c r="R27" s="34"/>
      <c r="S27" s="28"/>
      <c r="T27" s="34"/>
      <c r="U27" s="15"/>
    </row>
    <row r="28" spans="1:21" ht="15.75" x14ac:dyDescent="0.25">
      <c r="A28" s="37"/>
      <c r="B28" s="37"/>
      <c r="C28" s="37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28"/>
      <c r="O28" s="28"/>
      <c r="P28" s="28"/>
      <c r="Q28" s="33"/>
      <c r="R28" s="34"/>
      <c r="S28" s="28"/>
      <c r="T28" s="34"/>
      <c r="U28" s="2"/>
    </row>
    <row r="29" spans="1:21" ht="15.75" x14ac:dyDescent="0.25">
      <c r="A29" s="37"/>
      <c r="B29" s="37"/>
      <c r="C29" s="37"/>
      <c r="D29" s="28"/>
      <c r="E29" s="33"/>
      <c r="F29" s="33"/>
      <c r="G29" s="33"/>
      <c r="H29" s="33"/>
      <c r="I29" s="33"/>
      <c r="J29" s="33"/>
      <c r="K29" s="33"/>
      <c r="L29" s="33"/>
      <c r="M29" s="33"/>
      <c r="N29" s="28"/>
      <c r="O29" s="28"/>
      <c r="P29" s="28"/>
      <c r="Q29" s="33"/>
      <c r="R29" s="34"/>
      <c r="S29" s="28"/>
      <c r="T29" s="34"/>
      <c r="U29" s="2"/>
    </row>
    <row r="30" spans="1:21" ht="15.75" x14ac:dyDescent="0.25">
      <c r="A30" s="3" t="s">
        <v>67</v>
      </c>
      <c r="B30" s="3"/>
      <c r="C30" s="3"/>
      <c r="D30" s="35">
        <f>SUM(D4:D16)</f>
        <v>1211776</v>
      </c>
      <c r="E30" s="35">
        <f>SUM(E4:E16)</f>
        <v>924736</v>
      </c>
      <c r="F30" s="35">
        <f>SUM(F4:F17)</f>
        <v>1240614</v>
      </c>
      <c r="G30" s="35">
        <f>SUM(G6:G21)</f>
        <v>778470</v>
      </c>
      <c r="H30" s="35">
        <f>SUM(H6:H21)</f>
        <v>778470</v>
      </c>
      <c r="I30" s="35">
        <f>SUM(I4:I21)</f>
        <v>312161</v>
      </c>
      <c r="J30" s="35">
        <f>SUM(J6:J21)</f>
        <v>2802000</v>
      </c>
      <c r="K30" s="36">
        <f>SUM(K7:K21)</f>
        <v>1119000</v>
      </c>
      <c r="L30" s="36">
        <f>SUM(L7:L21)</f>
        <v>1119000</v>
      </c>
      <c r="M30" s="36">
        <v>884172</v>
      </c>
      <c r="N30" s="35">
        <f t="shared" ref="N30:T30" si="0">SUM(N4:N29)</f>
        <v>3234000</v>
      </c>
      <c r="O30" s="35">
        <f t="shared" si="0"/>
        <v>1467639</v>
      </c>
      <c r="P30" s="35">
        <f t="shared" si="0"/>
        <v>1467639</v>
      </c>
      <c r="Q30" s="35">
        <f t="shared" si="0"/>
        <v>910656</v>
      </c>
      <c r="R30" s="35">
        <f t="shared" si="0"/>
        <v>7415000</v>
      </c>
      <c r="S30" s="35">
        <f t="shared" si="0"/>
        <v>292669</v>
      </c>
      <c r="T30" s="35">
        <f t="shared" si="0"/>
        <v>4778972</v>
      </c>
      <c r="U30" s="2"/>
    </row>
    <row r="31" spans="1:21" ht="14.25" x14ac:dyDescent="0.2">
      <c r="A31" s="13"/>
      <c r="B31" s="13"/>
      <c r="C31" s="13"/>
      <c r="D31" s="2"/>
      <c r="E31" s="2"/>
      <c r="F31" s="2"/>
      <c r="G31" s="2"/>
      <c r="H31" s="2"/>
      <c r="I31" s="2"/>
      <c r="J31" s="2"/>
      <c r="K31" s="2"/>
    </row>
    <row r="32" spans="1:21" ht="15" x14ac:dyDescent="0.25">
      <c r="A32" s="16"/>
      <c r="B32" s="17"/>
      <c r="C32" s="17"/>
      <c r="D32" s="2"/>
      <c r="E32" s="2"/>
      <c r="F32" s="2"/>
      <c r="G32" s="2"/>
      <c r="H32" s="2"/>
      <c r="I32" s="2"/>
      <c r="J32" s="2"/>
      <c r="K32" s="2"/>
    </row>
    <row r="33" spans="1:11" ht="15" x14ac:dyDescent="0.25">
      <c r="A33" s="16"/>
      <c r="B33" s="17"/>
      <c r="C33" s="17"/>
      <c r="D33" s="2"/>
      <c r="E33" s="2"/>
      <c r="F33" s="2"/>
      <c r="G33" s="2"/>
      <c r="H33" s="2"/>
      <c r="I33" s="2"/>
      <c r="J33" s="2"/>
      <c r="K33" s="2"/>
    </row>
    <row r="34" spans="1:11" ht="15" x14ac:dyDescent="0.25">
      <c r="A34" s="18"/>
      <c r="B34" s="14"/>
      <c r="C34" s="14"/>
      <c r="D34" s="2"/>
      <c r="E34" s="2"/>
      <c r="F34" s="2"/>
      <c r="G34" s="2"/>
      <c r="H34" s="2"/>
      <c r="I34" s="2"/>
      <c r="J34" s="2"/>
      <c r="K34" s="2"/>
    </row>
    <row r="35" spans="1:11" ht="15.75" x14ac:dyDescent="0.25">
      <c r="A35" s="18"/>
      <c r="B35" s="14"/>
      <c r="C35" s="26" t="s">
        <v>107</v>
      </c>
      <c r="D35" s="37"/>
      <c r="E35" s="2"/>
      <c r="F35" s="2"/>
      <c r="G35" s="2"/>
      <c r="H35" s="2"/>
      <c r="I35" s="2"/>
      <c r="J35" s="2"/>
      <c r="K35" s="2"/>
    </row>
    <row r="36" spans="1:11" ht="15.75" x14ac:dyDescent="0.25">
      <c r="A36" s="14"/>
      <c r="B36" s="15"/>
      <c r="C36" s="38"/>
      <c r="D36" s="37"/>
      <c r="E36" s="2"/>
      <c r="F36" s="2"/>
      <c r="G36" s="2"/>
      <c r="H36" s="2"/>
      <c r="I36" s="2"/>
      <c r="J36" s="2"/>
      <c r="K36" s="2"/>
    </row>
    <row r="37" spans="1:11" ht="15.75" x14ac:dyDescent="0.25">
      <c r="A37" s="2"/>
      <c r="B37" s="2"/>
      <c r="C37" s="39" t="s">
        <v>52</v>
      </c>
      <c r="D37" s="40">
        <f>T9+T10+T24</f>
        <v>400000</v>
      </c>
      <c r="E37" s="2"/>
      <c r="F37" s="2"/>
      <c r="G37" s="2"/>
      <c r="H37" s="2"/>
      <c r="I37" s="2"/>
      <c r="J37" s="2"/>
      <c r="K37" s="2"/>
    </row>
    <row r="38" spans="1:11" ht="15.75" x14ac:dyDescent="0.25">
      <c r="A38" s="14"/>
      <c r="B38" s="19"/>
      <c r="C38" s="41" t="s">
        <v>53</v>
      </c>
      <c r="D38" s="40">
        <f>T6+T14+T15+T17+T18+T19+T21+T22+T23+T25</f>
        <v>4048972</v>
      </c>
      <c r="E38" s="2"/>
      <c r="F38" s="2"/>
      <c r="G38" s="2"/>
      <c r="H38" s="2"/>
      <c r="I38" s="2"/>
      <c r="J38" s="2"/>
      <c r="K38" s="2"/>
    </row>
    <row r="39" spans="1:11" ht="15.75" x14ac:dyDescent="0.25">
      <c r="A39" s="14"/>
      <c r="B39" s="19"/>
      <c r="C39" s="41" t="s">
        <v>54</v>
      </c>
      <c r="D39" s="40">
        <f>T7+T11</f>
        <v>30000</v>
      </c>
      <c r="E39" s="2"/>
      <c r="F39" s="2"/>
      <c r="G39" s="2"/>
      <c r="H39" s="2"/>
      <c r="I39" s="2"/>
      <c r="J39" s="2"/>
      <c r="K39" s="2"/>
    </row>
    <row r="40" spans="1:11" ht="15.75" x14ac:dyDescent="0.25">
      <c r="A40" s="14"/>
      <c r="B40" s="19"/>
      <c r="C40" s="41" t="s">
        <v>55</v>
      </c>
      <c r="D40" s="40">
        <f>T8+T16</f>
        <v>40000</v>
      </c>
      <c r="E40" s="2"/>
      <c r="F40" s="2"/>
      <c r="G40" s="2"/>
      <c r="H40" s="2"/>
      <c r="I40" s="2"/>
      <c r="J40" s="2"/>
      <c r="K40" s="2"/>
    </row>
    <row r="41" spans="1:11" ht="15.75" x14ac:dyDescent="0.25">
      <c r="A41" s="14"/>
      <c r="B41" s="19"/>
      <c r="C41" s="41" t="s">
        <v>83</v>
      </c>
      <c r="D41" s="40">
        <f>T20</f>
        <v>200000</v>
      </c>
      <c r="E41" s="2"/>
      <c r="F41" s="2"/>
      <c r="G41" s="2"/>
      <c r="H41" s="2"/>
      <c r="I41" s="2"/>
      <c r="J41" s="2"/>
      <c r="K41" s="2"/>
    </row>
    <row r="42" spans="1:11" ht="15.75" x14ac:dyDescent="0.25">
      <c r="A42" s="14"/>
      <c r="B42" s="19"/>
      <c r="C42" s="41" t="s">
        <v>100</v>
      </c>
      <c r="D42" s="40">
        <f>T26</f>
        <v>60000</v>
      </c>
      <c r="E42" s="2"/>
      <c r="F42" s="2"/>
      <c r="G42" s="2"/>
      <c r="H42" s="2"/>
      <c r="I42" s="2"/>
      <c r="J42" s="2"/>
      <c r="K42" s="2"/>
    </row>
    <row r="43" spans="1:11" ht="15.75" x14ac:dyDescent="0.25">
      <c r="A43" s="14"/>
      <c r="B43" s="19"/>
      <c r="C43" s="41" t="s">
        <v>69</v>
      </c>
      <c r="D43" s="42">
        <f>SUM(D37:D42)</f>
        <v>4778972</v>
      </c>
      <c r="E43" s="2"/>
      <c r="F43" s="2"/>
      <c r="G43" s="2"/>
      <c r="H43" s="2"/>
      <c r="I43" s="2"/>
      <c r="J43" s="2"/>
      <c r="K43" s="2"/>
    </row>
    <row r="44" spans="1:11" ht="15.75" x14ac:dyDescent="0.25">
      <c r="A44" s="26"/>
      <c r="B44" s="19"/>
      <c r="C44" s="20"/>
      <c r="D44" s="2"/>
      <c r="E44" s="2"/>
      <c r="F44" s="2"/>
      <c r="G44" s="2"/>
      <c r="H44" s="2"/>
      <c r="I44" s="2"/>
      <c r="J44" s="2"/>
      <c r="K44" s="2"/>
    </row>
    <row r="47" spans="1:11" ht="15" x14ac:dyDescent="0.25">
      <c r="B47" s="14"/>
      <c r="C47" s="2"/>
    </row>
    <row r="48" spans="1:11" ht="14.25" x14ac:dyDescent="0.2">
      <c r="B48" s="2"/>
      <c r="C48" s="2"/>
    </row>
    <row r="49" spans="1:3" ht="15" x14ac:dyDescent="0.25">
      <c r="A49" s="14"/>
      <c r="B49" s="19"/>
      <c r="C49" s="2"/>
    </row>
    <row r="50" spans="1:3" ht="15" x14ac:dyDescent="0.25">
      <c r="A50" s="14"/>
      <c r="B50" s="19"/>
      <c r="C50" s="2"/>
    </row>
    <row r="51" spans="1:3" ht="15" x14ac:dyDescent="0.25">
      <c r="A51" s="14"/>
      <c r="B51" s="19"/>
      <c r="C51" s="2"/>
    </row>
    <row r="52" spans="1:3" ht="15" x14ac:dyDescent="0.25">
      <c r="A52" s="14"/>
      <c r="B52" s="19"/>
      <c r="C52" s="2"/>
    </row>
    <row r="53" spans="1:3" ht="15" x14ac:dyDescent="0.25">
      <c r="A53" s="14"/>
      <c r="B53" s="19"/>
      <c r="C53" s="2"/>
    </row>
    <row r="54" spans="1:3" ht="15" x14ac:dyDescent="0.25">
      <c r="A54" s="14"/>
      <c r="B54" s="19"/>
      <c r="C54" s="2"/>
    </row>
  </sheetData>
  <pageMargins left="0.25" right="0.25" top="1" bottom="0.5" header="0.4" footer="0.5"/>
  <pageSetup scale="64" orientation="landscape" r:id="rId1"/>
  <headerFooter>
    <oddHeader>&amp;L&amp;"Arial,Bold"&amp;14Exhibit A&amp;C&amp;"Arial,Bold"&amp;12City of Florida City
Community Redevlopment Agency
FY 2019-20 Proposed Budget
FY 2019-20 begins October 1,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zoomScaleNormal="100" zoomScaleSheetLayoutView="75" zoomScalePageLayoutView="75" workbookViewId="0">
      <pane xSplit="3" ySplit="7" topLeftCell="S11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U39" sqref="U39"/>
    </sheetView>
  </sheetViews>
  <sheetFormatPr defaultRowHeight="12.75" x14ac:dyDescent="0.2"/>
  <cols>
    <col min="1" max="1" width="19.5703125" customWidth="1"/>
    <col min="2" max="2" width="13.5703125" customWidth="1"/>
    <col min="3" max="3" width="12.7109375" customWidth="1"/>
    <col min="4" max="5" width="11.85546875" customWidth="1"/>
    <col min="6" max="8" width="11.85546875" hidden="1" customWidth="1"/>
    <col min="9" max="9" width="11.85546875" customWidth="1"/>
    <col min="10" max="10" width="11.85546875" hidden="1" customWidth="1"/>
    <col min="11" max="11" width="13.85546875" hidden="1" customWidth="1"/>
    <col min="12" max="12" width="14.140625" hidden="1" customWidth="1"/>
    <col min="13" max="13" width="14.140625" customWidth="1"/>
    <col min="14" max="16" width="15.85546875" hidden="1" customWidth="1"/>
    <col min="17" max="17" width="15.85546875" customWidth="1"/>
    <col min="18" max="18" width="14.85546875" hidden="1" customWidth="1"/>
    <col min="19" max="20" width="14.85546875" customWidth="1"/>
    <col min="21" max="22" width="14.140625" customWidth="1"/>
  </cols>
  <sheetData>
    <row r="1" spans="1:23" ht="18" x14ac:dyDescent="0.25">
      <c r="A1" s="25" t="s">
        <v>86</v>
      </c>
      <c r="B1" s="21"/>
      <c r="C1" s="2"/>
      <c r="E1" s="2"/>
      <c r="F1" s="2"/>
      <c r="G1" s="2"/>
      <c r="H1" s="22" t="s">
        <v>42</v>
      </c>
      <c r="I1" s="2"/>
      <c r="J1" s="2"/>
      <c r="K1" s="2"/>
    </row>
    <row r="2" spans="1:23" ht="15" x14ac:dyDescent="0.25">
      <c r="A2" s="21"/>
      <c r="B2" s="21"/>
      <c r="C2" s="2"/>
      <c r="E2" s="2"/>
      <c r="F2" s="2"/>
      <c r="G2" s="2"/>
      <c r="H2" s="22" t="s">
        <v>43</v>
      </c>
      <c r="I2" s="2"/>
      <c r="J2" s="2"/>
      <c r="K2" s="2"/>
    </row>
    <row r="3" spans="1:23" ht="15" x14ac:dyDescent="0.25">
      <c r="A3" s="14"/>
      <c r="B3" s="14"/>
      <c r="C3" s="2"/>
      <c r="E3" s="2"/>
      <c r="F3" s="2"/>
      <c r="G3" s="2"/>
      <c r="H3" s="22" t="s">
        <v>87</v>
      </c>
      <c r="I3" s="2"/>
      <c r="J3" s="2"/>
      <c r="K3" s="2"/>
    </row>
    <row r="4" spans="1:23" ht="14.25" x14ac:dyDescent="0.2">
      <c r="A4" s="2"/>
      <c r="B4" s="2"/>
      <c r="C4" s="2"/>
      <c r="E4" s="2"/>
      <c r="F4" s="2"/>
      <c r="G4" s="2"/>
      <c r="H4" s="23" t="s">
        <v>88</v>
      </c>
      <c r="I4" s="2"/>
      <c r="J4" s="2"/>
      <c r="K4" s="2"/>
    </row>
    <row r="5" spans="1:23" ht="15.75" x14ac:dyDescent="0.25">
      <c r="A5" s="54"/>
      <c r="B5" s="54"/>
      <c r="C5" s="55"/>
      <c r="D5" s="44" t="s">
        <v>71</v>
      </c>
      <c r="E5" s="44" t="s">
        <v>74</v>
      </c>
      <c r="F5" s="44" t="s">
        <v>75</v>
      </c>
      <c r="G5" s="44" t="s">
        <v>75</v>
      </c>
      <c r="H5" s="44" t="s">
        <v>75</v>
      </c>
      <c r="I5" s="44" t="s">
        <v>75</v>
      </c>
      <c r="J5" s="44" t="s">
        <v>78</v>
      </c>
      <c r="K5" s="56" t="s">
        <v>78</v>
      </c>
      <c r="L5" s="44" t="s">
        <v>78</v>
      </c>
      <c r="M5" s="44" t="s">
        <v>78</v>
      </c>
      <c r="N5" s="44" t="s">
        <v>89</v>
      </c>
      <c r="O5" s="44" t="s">
        <v>89</v>
      </c>
      <c r="P5" s="104" t="s">
        <v>89</v>
      </c>
      <c r="Q5" s="44" t="s">
        <v>89</v>
      </c>
      <c r="R5" s="44" t="s">
        <v>101</v>
      </c>
      <c r="S5" s="44" t="s">
        <v>101</v>
      </c>
      <c r="T5" s="44" t="s">
        <v>106</v>
      </c>
      <c r="U5" s="44" t="s">
        <v>106</v>
      </c>
      <c r="V5" s="44" t="s">
        <v>108</v>
      </c>
      <c r="W5" s="37"/>
    </row>
    <row r="6" spans="1:23" ht="15.75" x14ac:dyDescent="0.25">
      <c r="A6" s="54"/>
      <c r="B6" s="54"/>
      <c r="C6" s="55"/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57" t="s">
        <v>0</v>
      </c>
      <c r="L6" s="48" t="s">
        <v>0</v>
      </c>
      <c r="M6" s="48" t="s">
        <v>0</v>
      </c>
      <c r="N6" s="48" t="s">
        <v>0</v>
      </c>
      <c r="O6" s="48" t="s">
        <v>0</v>
      </c>
      <c r="P6" s="105" t="s">
        <v>0</v>
      </c>
      <c r="Q6" s="48" t="s">
        <v>0</v>
      </c>
      <c r="R6" s="48" t="s">
        <v>0</v>
      </c>
      <c r="S6" s="48" t="s">
        <v>0</v>
      </c>
      <c r="T6" s="48" t="s">
        <v>0</v>
      </c>
      <c r="U6" s="48" t="s">
        <v>0</v>
      </c>
      <c r="V6" s="48" t="s">
        <v>0</v>
      </c>
      <c r="W6" s="37"/>
    </row>
    <row r="7" spans="1:23" ht="15.75" x14ac:dyDescent="0.25">
      <c r="A7" s="54" t="s">
        <v>9</v>
      </c>
      <c r="B7" s="54"/>
      <c r="C7" s="55"/>
      <c r="D7" s="51" t="s">
        <v>1</v>
      </c>
      <c r="E7" s="51" t="s">
        <v>1</v>
      </c>
      <c r="F7" s="51" t="s">
        <v>3</v>
      </c>
      <c r="G7" s="51" t="s">
        <v>73</v>
      </c>
      <c r="H7" s="51" t="s">
        <v>85</v>
      </c>
      <c r="I7" s="51" t="s">
        <v>1</v>
      </c>
      <c r="J7" s="51" t="s">
        <v>3</v>
      </c>
      <c r="K7" s="58" t="s">
        <v>73</v>
      </c>
      <c r="L7" s="51" t="s">
        <v>85</v>
      </c>
      <c r="M7" s="51" t="s">
        <v>1</v>
      </c>
      <c r="N7" s="51" t="s">
        <v>3</v>
      </c>
      <c r="O7" s="51" t="s">
        <v>73</v>
      </c>
      <c r="P7" s="112" t="s">
        <v>85</v>
      </c>
      <c r="Q7" s="51" t="s">
        <v>1</v>
      </c>
      <c r="R7" s="51" t="s">
        <v>96</v>
      </c>
      <c r="S7" s="51" t="s">
        <v>1</v>
      </c>
      <c r="T7" s="51" t="s">
        <v>96</v>
      </c>
      <c r="U7" s="51" t="s">
        <v>85</v>
      </c>
      <c r="V7" s="51" t="s">
        <v>96</v>
      </c>
      <c r="W7" s="37"/>
    </row>
    <row r="8" spans="1:23" ht="15" x14ac:dyDescent="0.2">
      <c r="A8" s="37" t="s">
        <v>6</v>
      </c>
      <c r="B8" s="37"/>
      <c r="C8" s="37"/>
      <c r="D8" s="59">
        <v>969326</v>
      </c>
      <c r="E8" s="60">
        <v>1012003</v>
      </c>
      <c r="F8" s="59">
        <v>1142072</v>
      </c>
      <c r="G8" s="59">
        <v>1142072</v>
      </c>
      <c r="H8" s="59">
        <v>1142072</v>
      </c>
      <c r="I8" s="60">
        <v>1142072</v>
      </c>
      <c r="J8" s="60">
        <v>1108901</v>
      </c>
      <c r="K8" s="28">
        <v>1108901</v>
      </c>
      <c r="L8" s="28">
        <v>1108901</v>
      </c>
      <c r="M8" s="28">
        <v>1108901</v>
      </c>
      <c r="N8" s="28">
        <v>1222832</v>
      </c>
      <c r="O8" s="28">
        <v>1222832</v>
      </c>
      <c r="P8" s="106">
        <v>1222832</v>
      </c>
      <c r="Q8" s="28">
        <v>1222832</v>
      </c>
      <c r="R8" s="28">
        <v>1325116</v>
      </c>
      <c r="S8" s="28">
        <v>1325116</v>
      </c>
      <c r="T8" s="28">
        <v>1371650</v>
      </c>
      <c r="U8" s="28">
        <f>T8</f>
        <v>1371650</v>
      </c>
      <c r="V8" s="28">
        <v>1513295</v>
      </c>
      <c r="W8" s="37"/>
    </row>
    <row r="9" spans="1:23" ht="15" x14ac:dyDescent="0.2">
      <c r="A9" s="37" t="s">
        <v>7</v>
      </c>
      <c r="B9" s="37"/>
      <c r="C9" s="37"/>
      <c r="D9" s="59">
        <v>596022</v>
      </c>
      <c r="E9" s="59">
        <v>662824</v>
      </c>
      <c r="F9" s="59">
        <v>741746</v>
      </c>
      <c r="G9" s="59">
        <v>741746</v>
      </c>
      <c r="H9" s="59">
        <v>741746</v>
      </c>
      <c r="I9" s="59">
        <v>741746</v>
      </c>
      <c r="J9" s="59">
        <v>720188</v>
      </c>
      <c r="K9" s="28">
        <v>720188</v>
      </c>
      <c r="L9" s="28">
        <v>720188</v>
      </c>
      <c r="M9" s="28">
        <v>720188</v>
      </c>
      <c r="N9" s="28">
        <v>794181</v>
      </c>
      <c r="O9" s="28">
        <v>794181</v>
      </c>
      <c r="P9" s="106">
        <v>794181</v>
      </c>
      <c r="Q9" s="28">
        <v>794181</v>
      </c>
      <c r="R9" s="28">
        <v>860612</v>
      </c>
      <c r="S9" s="28">
        <v>860612</v>
      </c>
      <c r="T9" s="28">
        <v>890834</v>
      </c>
      <c r="U9" s="28">
        <f>T9</f>
        <v>890834</v>
      </c>
      <c r="V9" s="28">
        <v>968168</v>
      </c>
      <c r="W9" s="37"/>
    </row>
    <row r="10" spans="1:23" ht="15.75" x14ac:dyDescent="0.25">
      <c r="A10" s="37" t="s">
        <v>4</v>
      </c>
      <c r="B10" s="37"/>
      <c r="C10" s="37"/>
      <c r="D10" s="59">
        <v>1450823</v>
      </c>
      <c r="E10" s="59">
        <v>1319621</v>
      </c>
      <c r="F10" s="59">
        <v>673468</v>
      </c>
      <c r="G10" s="59">
        <v>1603642</v>
      </c>
      <c r="H10" s="59">
        <v>1603642</v>
      </c>
      <c r="I10" s="118">
        <f>E63</f>
        <v>1603693</v>
      </c>
      <c r="J10" s="59">
        <v>2029327</v>
      </c>
      <c r="K10" s="28">
        <v>3124878</v>
      </c>
      <c r="L10" s="28">
        <v>3124878</v>
      </c>
      <c r="M10" s="119">
        <f>I63</f>
        <v>2369999</v>
      </c>
      <c r="N10" s="28">
        <v>3404483</v>
      </c>
      <c r="O10" s="28">
        <v>3618395</v>
      </c>
      <c r="P10" s="106">
        <v>3618395</v>
      </c>
      <c r="Q10" s="28">
        <f>M63</f>
        <v>2612348</v>
      </c>
      <c r="R10" s="110">
        <v>3642925</v>
      </c>
      <c r="S10" s="28">
        <f>Q63</f>
        <v>2696882</v>
      </c>
      <c r="T10" s="124">
        <f>S63</f>
        <v>4002677</v>
      </c>
      <c r="U10" s="28">
        <f>T10</f>
        <v>4002677</v>
      </c>
      <c r="V10" s="110">
        <f>U63</f>
        <v>5718490.8360000001</v>
      </c>
      <c r="W10" s="37"/>
    </row>
    <row r="11" spans="1:23" ht="15" x14ac:dyDescent="0.2">
      <c r="A11" s="37" t="s">
        <v>26</v>
      </c>
      <c r="B11" s="37"/>
      <c r="C11" s="37"/>
      <c r="D11" s="61"/>
      <c r="E11" s="61">
        <v>24878</v>
      </c>
      <c r="F11" s="61"/>
      <c r="G11" s="61">
        <v>164000</v>
      </c>
      <c r="H11" s="61">
        <v>164000</v>
      </c>
      <c r="I11" s="61">
        <v>6160</v>
      </c>
      <c r="J11" s="61">
        <v>100000</v>
      </c>
      <c r="K11" s="28">
        <v>210000</v>
      </c>
      <c r="L11" s="28">
        <v>210000</v>
      </c>
      <c r="M11" s="28">
        <v>3421</v>
      </c>
      <c r="N11" s="28">
        <v>400000</v>
      </c>
      <c r="O11" s="28">
        <v>10000</v>
      </c>
      <c r="P11" s="106">
        <v>10000</v>
      </c>
      <c r="Q11" s="28">
        <v>0</v>
      </c>
      <c r="R11" s="28">
        <v>153000</v>
      </c>
      <c r="S11" s="28"/>
      <c r="T11" s="28"/>
      <c r="U11" s="28"/>
      <c r="V11" s="28"/>
      <c r="W11" s="37"/>
    </row>
    <row r="12" spans="1:23" ht="15" x14ac:dyDescent="0.2">
      <c r="A12" s="37" t="s">
        <v>95</v>
      </c>
      <c r="B12" s="37"/>
      <c r="C12" s="37"/>
      <c r="D12" s="61"/>
      <c r="E12" s="61"/>
      <c r="F12" s="61"/>
      <c r="G12" s="61"/>
      <c r="H12" s="61"/>
      <c r="I12" s="61"/>
      <c r="J12" s="61"/>
      <c r="K12" s="28"/>
      <c r="L12" s="28"/>
      <c r="M12" s="28">
        <v>161370</v>
      </c>
      <c r="N12" s="28"/>
      <c r="O12" s="28">
        <v>250000</v>
      </c>
      <c r="P12" s="106">
        <v>250000</v>
      </c>
      <c r="Q12" s="28">
        <v>137487</v>
      </c>
      <c r="R12" s="28">
        <v>2512000</v>
      </c>
      <c r="S12" s="28">
        <v>84738</v>
      </c>
      <c r="T12" s="28">
        <v>2400000</v>
      </c>
      <c r="U12" s="28">
        <f>323864/10*12</f>
        <v>388636.80000000005</v>
      </c>
      <c r="V12" s="28">
        <v>4294000</v>
      </c>
      <c r="W12" s="37"/>
    </row>
    <row r="13" spans="1:23" ht="15" x14ac:dyDescent="0.2">
      <c r="A13" s="37" t="s">
        <v>68</v>
      </c>
      <c r="B13" s="37"/>
      <c r="C13" s="37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106"/>
      <c r="Q13" s="28"/>
      <c r="R13" s="28"/>
      <c r="S13" s="28"/>
      <c r="T13" s="28"/>
      <c r="U13" s="28"/>
      <c r="V13" s="28"/>
      <c r="W13" s="37"/>
    </row>
    <row r="14" spans="1:23" ht="15" x14ac:dyDescent="0.2">
      <c r="A14" s="37" t="s">
        <v>5</v>
      </c>
      <c r="B14" s="37"/>
      <c r="C14" s="37"/>
      <c r="D14" s="61">
        <v>10074</v>
      </c>
      <c r="E14" s="61">
        <v>1260</v>
      </c>
      <c r="F14" s="61">
        <v>5000</v>
      </c>
      <c r="G14" s="61">
        <v>9000</v>
      </c>
      <c r="H14" s="61">
        <v>9000</v>
      </c>
      <c r="I14" s="61">
        <v>11600</v>
      </c>
      <c r="J14" s="61">
        <v>8000</v>
      </c>
      <c r="K14" s="28">
        <v>15000</v>
      </c>
      <c r="L14" s="28">
        <v>15000</v>
      </c>
      <c r="M14" s="28">
        <v>15340</v>
      </c>
      <c r="N14" s="28">
        <v>20000</v>
      </c>
      <c r="O14" s="28">
        <v>18000</v>
      </c>
      <c r="P14" s="106">
        <v>18000</v>
      </c>
      <c r="Q14" s="28">
        <v>23409</v>
      </c>
      <c r="R14" s="28">
        <v>18000</v>
      </c>
      <c r="S14" s="28">
        <v>36884</v>
      </c>
      <c r="T14" s="28">
        <v>30000</v>
      </c>
      <c r="U14" s="28">
        <f>7770.2/10*12</f>
        <v>9324.24</v>
      </c>
      <c r="V14" s="28">
        <v>10000</v>
      </c>
      <c r="W14" s="37"/>
    </row>
    <row r="15" spans="1:23" ht="15.75" x14ac:dyDescent="0.25">
      <c r="A15" s="62" t="s">
        <v>25</v>
      </c>
      <c r="B15" s="62"/>
      <c r="C15" s="63"/>
      <c r="D15" s="64">
        <f t="shared" ref="D15:U15" si="0">SUM(D8:D14)</f>
        <v>3026245</v>
      </c>
      <c r="E15" s="64">
        <f t="shared" si="0"/>
        <v>3020586</v>
      </c>
      <c r="F15" s="64">
        <f t="shared" si="0"/>
        <v>2562286</v>
      </c>
      <c r="G15" s="65">
        <f t="shared" si="0"/>
        <v>3660460</v>
      </c>
      <c r="H15" s="65">
        <f t="shared" si="0"/>
        <v>3660460</v>
      </c>
      <c r="I15" s="117">
        <f t="shared" si="0"/>
        <v>3505271</v>
      </c>
      <c r="J15" s="64">
        <f t="shared" si="0"/>
        <v>3966416</v>
      </c>
      <c r="K15" s="66">
        <f t="shared" si="0"/>
        <v>5178967</v>
      </c>
      <c r="L15" s="66">
        <f t="shared" si="0"/>
        <v>5178967</v>
      </c>
      <c r="M15" s="120">
        <f>SUM(M8:M14)</f>
        <v>4379219</v>
      </c>
      <c r="N15" s="66">
        <f t="shared" si="0"/>
        <v>5841496</v>
      </c>
      <c r="O15" s="66">
        <f t="shared" si="0"/>
        <v>5913408</v>
      </c>
      <c r="P15" s="107">
        <f t="shared" si="0"/>
        <v>5913408</v>
      </c>
      <c r="Q15" s="66">
        <f t="shared" si="0"/>
        <v>4790257</v>
      </c>
      <c r="R15" s="66">
        <f t="shared" si="0"/>
        <v>8511653</v>
      </c>
      <c r="S15" s="66">
        <f t="shared" si="0"/>
        <v>5004232</v>
      </c>
      <c r="T15" s="66">
        <f t="shared" si="0"/>
        <v>8695161</v>
      </c>
      <c r="U15" s="66">
        <f t="shared" si="0"/>
        <v>6663122.04</v>
      </c>
      <c r="V15" s="66">
        <f t="shared" ref="V15" si="1">SUM(V8:V14)</f>
        <v>12503953.835999999</v>
      </c>
      <c r="W15" s="37"/>
    </row>
    <row r="16" spans="1:23" ht="15.75" x14ac:dyDescent="0.25">
      <c r="A16" s="67" t="s">
        <v>10</v>
      </c>
      <c r="B16" s="67"/>
      <c r="C16" s="68"/>
      <c r="D16" s="69"/>
      <c r="E16" s="69"/>
      <c r="F16" s="70"/>
      <c r="G16" s="69"/>
      <c r="H16" s="69"/>
      <c r="I16" s="69"/>
      <c r="J16" s="69"/>
      <c r="K16" s="71"/>
      <c r="L16" s="71"/>
      <c r="M16" s="71"/>
      <c r="N16" s="71"/>
      <c r="O16" s="71"/>
      <c r="P16" s="108"/>
      <c r="Q16" s="71"/>
      <c r="R16" s="71"/>
      <c r="S16" s="71"/>
      <c r="T16" s="71"/>
      <c r="U16" s="71"/>
      <c r="V16" s="71"/>
      <c r="W16" s="37"/>
    </row>
    <row r="17" spans="1:23" ht="15.75" x14ac:dyDescent="0.25">
      <c r="A17" s="72" t="s">
        <v>11</v>
      </c>
      <c r="B17" s="67"/>
      <c r="C17" s="68"/>
      <c r="D17" s="73"/>
      <c r="E17" s="73"/>
      <c r="F17" s="74"/>
      <c r="G17" s="73"/>
      <c r="H17" s="73"/>
      <c r="I17" s="73"/>
      <c r="J17" s="73"/>
      <c r="K17" s="75"/>
      <c r="L17" s="75"/>
      <c r="M17" s="75"/>
      <c r="N17" s="75"/>
      <c r="O17" s="75"/>
      <c r="P17" s="109"/>
      <c r="Q17" s="75"/>
      <c r="R17" s="75"/>
      <c r="S17" s="75"/>
      <c r="T17" s="75"/>
      <c r="U17" s="75"/>
      <c r="V17" s="75"/>
      <c r="W17" s="37"/>
    </row>
    <row r="18" spans="1:23" ht="15" x14ac:dyDescent="0.2">
      <c r="A18" s="37" t="s">
        <v>58</v>
      </c>
      <c r="B18" s="37"/>
      <c r="C18" s="37"/>
      <c r="D18" s="76">
        <v>77657</v>
      </c>
      <c r="E18" s="61">
        <v>76475</v>
      </c>
      <c r="F18" s="61">
        <v>83161</v>
      </c>
      <c r="G18" s="77">
        <v>83969</v>
      </c>
      <c r="H18" s="77">
        <v>83969</v>
      </c>
      <c r="I18" s="77">
        <v>81414</v>
      </c>
      <c r="J18" s="61">
        <v>86488</v>
      </c>
      <c r="K18" s="28">
        <v>86488</v>
      </c>
      <c r="L18" s="28">
        <v>86488</v>
      </c>
      <c r="M18" s="28">
        <v>79235</v>
      </c>
      <c r="N18" s="28">
        <v>89906</v>
      </c>
      <c r="O18" s="28">
        <v>83906</v>
      </c>
      <c r="P18" s="106">
        <v>83906</v>
      </c>
      <c r="Q18" s="28">
        <v>74417.670187737531</v>
      </c>
      <c r="R18" s="28">
        <v>94401</v>
      </c>
      <c r="S18" s="28">
        <f>110342*(R18/(R18+R19))</f>
        <v>83277.197512012222</v>
      </c>
      <c r="T18" s="28">
        <v>84000</v>
      </c>
      <c r="U18" s="28">
        <f>(88543.17)*(84000/(84000+27500))/10*12</f>
        <v>80046.202116591914</v>
      </c>
      <c r="V18" s="28">
        <f>T18*1.06</f>
        <v>89040</v>
      </c>
      <c r="W18" s="37"/>
    </row>
    <row r="19" spans="1:23" ht="15" x14ac:dyDescent="0.2">
      <c r="A19" s="37" t="s">
        <v>60</v>
      </c>
      <c r="B19" s="37"/>
      <c r="C19" s="37"/>
      <c r="D19" s="76">
        <v>25231</v>
      </c>
      <c r="E19" s="61">
        <v>21872</v>
      </c>
      <c r="F19" s="61">
        <v>27019</v>
      </c>
      <c r="G19" s="61">
        <v>24015</v>
      </c>
      <c r="H19" s="61">
        <v>24015</v>
      </c>
      <c r="I19" s="61">
        <v>23285</v>
      </c>
      <c r="J19" s="61">
        <f>+(J18*0.3249)</f>
        <v>28099.951200000003</v>
      </c>
      <c r="K19" s="28">
        <v>26162</v>
      </c>
      <c r="L19" s="28">
        <v>26162</v>
      </c>
      <c r="M19" s="28">
        <v>25752</v>
      </c>
      <c r="N19" s="28">
        <v>27197</v>
      </c>
      <c r="O19" s="28">
        <v>27269</v>
      </c>
      <c r="P19" s="106">
        <v>27269</v>
      </c>
      <c r="Q19" s="28">
        <v>24186.329812262469</v>
      </c>
      <c r="R19" s="28">
        <v>30680</v>
      </c>
      <c r="S19" s="28">
        <f>110342*(R19/(R19+R18))</f>
        <v>27064.802487987785</v>
      </c>
      <c r="T19" s="28">
        <v>27500</v>
      </c>
      <c r="U19" s="28">
        <f>(88543.17)*(27500/(84000+27500))/10*12</f>
        <v>26205.601883408075</v>
      </c>
      <c r="V19" s="28">
        <f>T19*1.06</f>
        <v>29150</v>
      </c>
      <c r="W19" s="37"/>
    </row>
    <row r="20" spans="1:23" ht="15" x14ac:dyDescent="0.2">
      <c r="A20" s="37" t="s">
        <v>12</v>
      </c>
      <c r="B20" s="37"/>
      <c r="C20" s="37"/>
      <c r="D20" s="78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106"/>
      <c r="Q20" s="28"/>
      <c r="R20" s="28"/>
      <c r="S20" s="28"/>
      <c r="T20" s="28"/>
      <c r="U20" s="28"/>
      <c r="V20" s="28"/>
      <c r="W20" s="37"/>
    </row>
    <row r="21" spans="1:23" ht="15" x14ac:dyDescent="0.2">
      <c r="A21" s="37" t="s">
        <v>13</v>
      </c>
      <c r="B21" s="37"/>
      <c r="C21" s="37"/>
      <c r="D21" s="78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106"/>
      <c r="Q21" s="28"/>
      <c r="R21" s="28"/>
      <c r="S21" s="28"/>
      <c r="T21" s="28"/>
      <c r="U21" s="28"/>
      <c r="V21" s="28"/>
      <c r="W21" s="37"/>
    </row>
    <row r="22" spans="1:23" ht="15" x14ac:dyDescent="0.2">
      <c r="A22" s="37" t="s">
        <v>65</v>
      </c>
      <c r="B22" s="37"/>
      <c r="C22" s="37"/>
      <c r="D22" s="76">
        <v>109583</v>
      </c>
      <c r="E22" s="61">
        <v>118802</v>
      </c>
      <c r="F22" s="61">
        <v>131878</v>
      </c>
      <c r="G22" s="61">
        <v>131878</v>
      </c>
      <c r="H22" s="61">
        <v>131878</v>
      </c>
      <c r="I22" s="61">
        <v>131878</v>
      </c>
      <c r="J22" s="61">
        <v>128047</v>
      </c>
      <c r="K22" s="28">
        <v>128047</v>
      </c>
      <c r="L22" s="28">
        <v>128047</v>
      </c>
      <c r="M22" s="28">
        <v>128047</v>
      </c>
      <c r="N22" s="28">
        <v>141202</v>
      </c>
      <c r="O22" s="28">
        <v>141202</v>
      </c>
      <c r="P22" s="106">
        <v>141202</v>
      </c>
      <c r="Q22" s="28">
        <v>141202</v>
      </c>
      <c r="R22" s="28">
        <v>153013</v>
      </c>
      <c r="S22" s="28">
        <v>153013</v>
      </c>
      <c r="T22" s="28">
        <v>158374</v>
      </c>
      <c r="U22" s="28">
        <f>T22</f>
        <v>158374</v>
      </c>
      <c r="V22" s="28">
        <v>173717</v>
      </c>
      <c r="W22" s="37"/>
    </row>
    <row r="23" spans="1:23" ht="15" x14ac:dyDescent="0.2">
      <c r="A23" s="37" t="s">
        <v>47</v>
      </c>
      <c r="B23" s="37"/>
      <c r="C23" s="37"/>
      <c r="D23" s="78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106"/>
      <c r="Q23" s="28"/>
      <c r="R23" s="28"/>
      <c r="S23" s="28"/>
      <c r="T23" s="28"/>
      <c r="U23" s="28"/>
      <c r="V23" s="28"/>
      <c r="W23" s="37"/>
    </row>
    <row r="24" spans="1:23" ht="15" x14ac:dyDescent="0.2">
      <c r="A24" s="37" t="s">
        <v>15</v>
      </c>
      <c r="B24" s="37"/>
      <c r="C24" s="37"/>
      <c r="D24" s="7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106"/>
      <c r="Q24" s="28"/>
      <c r="R24" s="28"/>
      <c r="S24" s="28"/>
      <c r="T24" s="28"/>
      <c r="U24" s="28"/>
      <c r="V24" s="28"/>
      <c r="W24" s="37"/>
    </row>
    <row r="25" spans="1:23" ht="15" x14ac:dyDescent="0.2">
      <c r="A25" s="37" t="s">
        <v>16</v>
      </c>
      <c r="B25" s="37"/>
      <c r="C25" s="37"/>
      <c r="D25" s="78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106"/>
      <c r="Q25" s="28"/>
      <c r="R25" s="28"/>
      <c r="S25" s="28"/>
      <c r="T25" s="28"/>
      <c r="U25" s="28"/>
      <c r="V25" s="28"/>
      <c r="W25" s="37"/>
    </row>
    <row r="26" spans="1:23" ht="15" x14ac:dyDescent="0.2">
      <c r="A26" s="37" t="s">
        <v>19</v>
      </c>
      <c r="B26" s="37"/>
      <c r="C26" s="37"/>
      <c r="D26" s="79">
        <v>570</v>
      </c>
      <c r="E26" s="80">
        <v>2533</v>
      </c>
      <c r="F26" s="80">
        <v>3000</v>
      </c>
      <c r="G26" s="80">
        <v>3000</v>
      </c>
      <c r="H26" s="80">
        <v>3000</v>
      </c>
      <c r="I26" s="80">
        <v>3142</v>
      </c>
      <c r="J26" s="80">
        <v>3000</v>
      </c>
      <c r="K26" s="28">
        <v>3000</v>
      </c>
      <c r="L26" s="28">
        <v>3000</v>
      </c>
      <c r="M26" s="28">
        <v>1574</v>
      </c>
      <c r="N26" s="28">
        <v>3000</v>
      </c>
      <c r="O26" s="28">
        <v>3000</v>
      </c>
      <c r="P26" s="106">
        <v>3000</v>
      </c>
      <c r="Q26" s="28">
        <v>2123</v>
      </c>
      <c r="R26" s="28">
        <v>3000</v>
      </c>
      <c r="S26" s="28">
        <v>5874</v>
      </c>
      <c r="T26" s="28">
        <v>7500</v>
      </c>
      <c r="U26" s="28">
        <f>5449.18/10*12</f>
        <v>6539.0159999999996</v>
      </c>
      <c r="V26" s="28">
        <f>T26*2</f>
        <v>15000</v>
      </c>
      <c r="W26" s="37"/>
    </row>
    <row r="27" spans="1:23" ht="15" x14ac:dyDescent="0.2">
      <c r="A27" s="37" t="s">
        <v>36</v>
      </c>
      <c r="B27" s="37"/>
      <c r="C27" s="37"/>
      <c r="D27" s="76">
        <v>5856</v>
      </c>
      <c r="E27" s="61">
        <v>7772</v>
      </c>
      <c r="F27" s="61">
        <v>8000</v>
      </c>
      <c r="G27" s="61">
        <v>8000</v>
      </c>
      <c r="H27" s="61">
        <v>8000</v>
      </c>
      <c r="I27" s="61">
        <v>4715</v>
      </c>
      <c r="J27" s="61">
        <v>8000</v>
      </c>
      <c r="K27" s="28">
        <v>5000</v>
      </c>
      <c r="L27" s="28">
        <v>5000</v>
      </c>
      <c r="M27" s="28">
        <v>4570</v>
      </c>
      <c r="N27" s="28">
        <v>5000</v>
      </c>
      <c r="O27" s="28">
        <v>5000</v>
      </c>
      <c r="P27" s="106">
        <v>5000</v>
      </c>
      <c r="Q27" s="28">
        <v>5470</v>
      </c>
      <c r="R27" s="28">
        <v>5000</v>
      </c>
      <c r="S27" s="28">
        <v>1299</v>
      </c>
      <c r="T27" s="28">
        <v>6000</v>
      </c>
      <c r="U27" s="28">
        <f>326.3/10*12</f>
        <v>391.56000000000006</v>
      </c>
      <c r="V27" s="28">
        <f>T27</f>
        <v>6000</v>
      </c>
      <c r="W27" s="37"/>
    </row>
    <row r="28" spans="1:23" ht="15" x14ac:dyDescent="0.2">
      <c r="A28" s="37" t="s">
        <v>66</v>
      </c>
      <c r="B28" s="37"/>
      <c r="C28" s="37"/>
      <c r="D28" s="76"/>
      <c r="E28" s="61"/>
      <c r="F28" s="61">
        <v>3000</v>
      </c>
      <c r="G28" s="61"/>
      <c r="H28" s="61"/>
      <c r="I28" s="61"/>
      <c r="J28" s="61">
        <v>3000</v>
      </c>
      <c r="K28" s="28"/>
      <c r="L28" s="28"/>
      <c r="M28" s="28"/>
      <c r="N28" s="28"/>
      <c r="O28" s="28"/>
      <c r="P28" s="106"/>
      <c r="Q28" s="28"/>
      <c r="R28" s="28"/>
      <c r="S28" s="28"/>
      <c r="T28" s="28">
        <v>3500</v>
      </c>
      <c r="U28" s="28"/>
      <c r="V28" s="28">
        <f>T28</f>
        <v>3500</v>
      </c>
      <c r="W28" s="37"/>
    </row>
    <row r="29" spans="1:23" ht="15" x14ac:dyDescent="0.2">
      <c r="A29" s="37" t="s">
        <v>20</v>
      </c>
      <c r="B29" s="37"/>
      <c r="C29" s="37"/>
      <c r="D29" s="78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106"/>
      <c r="Q29" s="28"/>
      <c r="R29" s="28"/>
      <c r="S29" s="28"/>
      <c r="T29" s="28"/>
      <c r="U29" s="28"/>
      <c r="V29" s="28"/>
      <c r="W29" s="37"/>
    </row>
    <row r="30" spans="1:23" ht="15" x14ac:dyDescent="0.2">
      <c r="A30" s="37" t="s">
        <v>37</v>
      </c>
      <c r="B30" s="37"/>
      <c r="C30" s="37"/>
      <c r="D30" s="78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106"/>
      <c r="Q30" s="28"/>
      <c r="R30" s="28"/>
      <c r="S30" s="28"/>
      <c r="T30" s="28"/>
      <c r="U30" s="28"/>
      <c r="V30" s="28"/>
      <c r="W30" s="37"/>
    </row>
    <row r="31" spans="1:23" ht="15" x14ac:dyDescent="0.2">
      <c r="A31" s="37" t="s">
        <v>21</v>
      </c>
      <c r="B31" s="37"/>
      <c r="C31" s="37"/>
      <c r="D31" s="78"/>
      <c r="E31" s="29"/>
      <c r="F31" s="29">
        <v>3000</v>
      </c>
      <c r="G31" s="29"/>
      <c r="H31" s="29"/>
      <c r="I31" s="29"/>
      <c r="J31" s="29">
        <v>3000</v>
      </c>
      <c r="K31" s="28"/>
      <c r="L31" s="28"/>
      <c r="M31" s="28"/>
      <c r="N31" s="28">
        <v>3000</v>
      </c>
      <c r="O31" s="28">
        <v>1000</v>
      </c>
      <c r="P31" s="106">
        <v>1000</v>
      </c>
      <c r="Q31" s="28">
        <v>50</v>
      </c>
      <c r="R31" s="28">
        <v>1000</v>
      </c>
      <c r="S31" s="28">
        <v>364</v>
      </c>
      <c r="T31" s="28">
        <v>1000</v>
      </c>
      <c r="U31" s="28"/>
      <c r="V31" s="28">
        <f>T31</f>
        <v>1000</v>
      </c>
      <c r="W31" s="37"/>
    </row>
    <row r="32" spans="1:23" ht="15" x14ac:dyDescent="0.2">
      <c r="A32" s="37" t="s">
        <v>81</v>
      </c>
      <c r="B32" s="37"/>
      <c r="C32" s="37"/>
      <c r="D32" s="78">
        <v>2127</v>
      </c>
      <c r="E32" s="29">
        <v>499</v>
      </c>
      <c r="F32" s="29">
        <v>1000</v>
      </c>
      <c r="G32" s="29">
        <v>6000</v>
      </c>
      <c r="H32" s="29">
        <v>6000</v>
      </c>
      <c r="I32" s="116">
        <v>775</v>
      </c>
      <c r="J32" s="29">
        <v>2000</v>
      </c>
      <c r="K32" s="28">
        <v>500</v>
      </c>
      <c r="L32" s="28">
        <v>500</v>
      </c>
      <c r="M32" s="28">
        <v>1187</v>
      </c>
      <c r="N32" s="28">
        <v>1000</v>
      </c>
      <c r="O32" s="28">
        <v>1000</v>
      </c>
      <c r="P32" s="106">
        <v>1000</v>
      </c>
      <c r="Q32" s="28">
        <v>1419</v>
      </c>
      <c r="R32" s="28">
        <v>1200</v>
      </c>
      <c r="S32" s="28">
        <v>1881</v>
      </c>
      <c r="T32" s="28">
        <v>12000</v>
      </c>
      <c r="U32" s="28"/>
      <c r="V32" s="28">
        <f>T32</f>
        <v>12000</v>
      </c>
      <c r="W32" s="37"/>
    </row>
    <row r="33" spans="1:23" ht="15.75" x14ac:dyDescent="0.25">
      <c r="A33" s="26" t="s">
        <v>30</v>
      </c>
      <c r="B33" s="37"/>
      <c r="C33" s="37"/>
      <c r="D33" s="81">
        <f t="shared" ref="D33:G33" si="2">SUM(D18:D32)</f>
        <v>221024</v>
      </c>
      <c r="E33" s="82">
        <f t="shared" ref="E33" si="3">SUM(E18:E32)</f>
        <v>227953</v>
      </c>
      <c r="F33" s="82">
        <f t="shared" si="2"/>
        <v>260058</v>
      </c>
      <c r="G33" s="82">
        <f t="shared" si="2"/>
        <v>256862</v>
      </c>
      <c r="H33" s="82">
        <f t="shared" ref="H33:U33" si="4">SUM(H18:H32)</f>
        <v>256862</v>
      </c>
      <c r="I33" s="82">
        <f t="shared" si="4"/>
        <v>245209</v>
      </c>
      <c r="J33" s="82">
        <f t="shared" si="4"/>
        <v>261634.95120000001</v>
      </c>
      <c r="K33" s="83">
        <f t="shared" si="4"/>
        <v>249197</v>
      </c>
      <c r="L33" s="83">
        <f t="shared" si="4"/>
        <v>249197</v>
      </c>
      <c r="M33" s="83">
        <f t="shared" si="4"/>
        <v>240365</v>
      </c>
      <c r="N33" s="66">
        <f t="shared" si="4"/>
        <v>270305</v>
      </c>
      <c r="O33" s="66">
        <f t="shared" si="4"/>
        <v>262377</v>
      </c>
      <c r="P33" s="107">
        <f t="shared" si="4"/>
        <v>262377</v>
      </c>
      <c r="Q33" s="66">
        <f t="shared" si="4"/>
        <v>248868</v>
      </c>
      <c r="R33" s="66">
        <f t="shared" si="4"/>
        <v>288294</v>
      </c>
      <c r="S33" s="66">
        <f t="shared" si="4"/>
        <v>272773</v>
      </c>
      <c r="T33" s="66">
        <f t="shared" si="4"/>
        <v>299874</v>
      </c>
      <c r="U33" s="83">
        <f t="shared" si="4"/>
        <v>271556.38</v>
      </c>
      <c r="V33" s="83">
        <f t="shared" ref="V33" si="5">SUM(V18:V32)</f>
        <v>329407</v>
      </c>
      <c r="W33" s="84">
        <f>S33/(S8+S9)</f>
        <v>0.12479732153314593</v>
      </c>
    </row>
    <row r="34" spans="1:23" ht="15.75" x14ac:dyDescent="0.25">
      <c r="A34" s="37" t="s">
        <v>32</v>
      </c>
      <c r="B34" s="37"/>
      <c r="C34" s="37"/>
      <c r="D34" s="85">
        <v>8940</v>
      </c>
      <c r="E34" s="86">
        <v>9942</v>
      </c>
      <c r="F34" s="86">
        <f>F9*0.015</f>
        <v>11126.189999999999</v>
      </c>
      <c r="G34" s="86">
        <v>11126</v>
      </c>
      <c r="H34" s="86">
        <v>11126</v>
      </c>
      <c r="I34" s="86">
        <v>11331</v>
      </c>
      <c r="J34" s="86">
        <v>10803</v>
      </c>
      <c r="K34" s="83">
        <v>10803</v>
      </c>
      <c r="L34" s="83">
        <v>10803</v>
      </c>
      <c r="M34" s="83">
        <v>10803</v>
      </c>
      <c r="N34" s="66">
        <v>11913</v>
      </c>
      <c r="O34" s="66">
        <v>11913</v>
      </c>
      <c r="P34" s="107">
        <v>11913</v>
      </c>
      <c r="Q34" s="66">
        <v>11913</v>
      </c>
      <c r="R34" s="66">
        <v>12904</v>
      </c>
      <c r="S34" s="66">
        <v>12904</v>
      </c>
      <c r="T34" s="66">
        <v>13363</v>
      </c>
      <c r="U34" s="122">
        <f>T34</f>
        <v>13363</v>
      </c>
      <c r="V34" s="123">
        <v>14523</v>
      </c>
      <c r="W34" s="37"/>
    </row>
    <row r="35" spans="1:23" ht="15.75" x14ac:dyDescent="0.25">
      <c r="A35" s="26" t="s">
        <v>31</v>
      </c>
      <c r="B35" s="37"/>
      <c r="C35" s="37"/>
      <c r="D35" s="81">
        <f t="shared" ref="D35:H35" si="6">+D34+D33</f>
        <v>229964</v>
      </c>
      <c r="E35" s="82">
        <f>E34+E33</f>
        <v>237895</v>
      </c>
      <c r="F35" s="82">
        <f t="shared" si="6"/>
        <v>271184.19</v>
      </c>
      <c r="G35" s="82">
        <f t="shared" si="6"/>
        <v>267988</v>
      </c>
      <c r="H35" s="82">
        <f t="shared" si="6"/>
        <v>267988</v>
      </c>
      <c r="I35" s="82">
        <f t="shared" ref="I35:Q35" si="7">SUM(I33:I34)</f>
        <v>256540</v>
      </c>
      <c r="J35" s="82">
        <f t="shared" si="7"/>
        <v>272437.95120000001</v>
      </c>
      <c r="K35" s="83">
        <f t="shared" si="7"/>
        <v>260000</v>
      </c>
      <c r="L35" s="83">
        <f t="shared" si="7"/>
        <v>260000</v>
      </c>
      <c r="M35" s="83">
        <f t="shared" si="7"/>
        <v>251168</v>
      </c>
      <c r="N35" s="66">
        <f t="shared" si="7"/>
        <v>282218</v>
      </c>
      <c r="O35" s="66">
        <f t="shared" si="7"/>
        <v>274290</v>
      </c>
      <c r="P35" s="107">
        <f t="shared" ref="P35" si="8">SUM(P33:P34)</f>
        <v>274290</v>
      </c>
      <c r="Q35" s="66">
        <f t="shared" si="7"/>
        <v>260781</v>
      </c>
      <c r="R35" s="66">
        <f t="shared" ref="R35:T35" si="9">SUM(R33:R34)</f>
        <v>301198</v>
      </c>
      <c r="S35" s="66">
        <f t="shared" si="9"/>
        <v>285677</v>
      </c>
      <c r="T35" s="66">
        <f t="shared" si="9"/>
        <v>313237</v>
      </c>
      <c r="U35" s="83">
        <f t="shared" ref="U35:V35" si="10">SUM(U33:U34)</f>
        <v>284919.38</v>
      </c>
      <c r="V35" s="83">
        <f t="shared" si="10"/>
        <v>343930</v>
      </c>
      <c r="W35" s="84">
        <f>S35/(S8+S9)</f>
        <v>0.130701075339658</v>
      </c>
    </row>
    <row r="36" spans="1:23" ht="15.75" x14ac:dyDescent="0.25">
      <c r="A36" s="87" t="s">
        <v>17</v>
      </c>
      <c r="B36" s="54"/>
      <c r="C36" s="55"/>
      <c r="D36" s="88"/>
      <c r="E36" s="89"/>
      <c r="F36" s="89"/>
      <c r="G36" s="89"/>
      <c r="H36" s="89"/>
      <c r="I36" s="89"/>
      <c r="J36" s="90"/>
      <c r="K36" s="91"/>
      <c r="L36" s="91"/>
      <c r="M36" s="91"/>
      <c r="N36" s="90"/>
      <c r="O36" s="90"/>
      <c r="P36" s="106"/>
      <c r="Q36" s="90"/>
      <c r="R36" s="90"/>
      <c r="S36" s="90"/>
      <c r="T36" s="90"/>
      <c r="U36" s="91"/>
      <c r="V36" s="91"/>
      <c r="W36" s="37"/>
    </row>
    <row r="37" spans="1:23" ht="15" x14ac:dyDescent="0.2">
      <c r="A37" s="37" t="s">
        <v>59</v>
      </c>
      <c r="B37" s="37"/>
      <c r="C37" s="37"/>
      <c r="D37" s="92">
        <v>51771</v>
      </c>
      <c r="E37" s="93">
        <v>50984</v>
      </c>
      <c r="F37" s="93">
        <v>55441</v>
      </c>
      <c r="G37" s="93">
        <v>57979</v>
      </c>
      <c r="H37" s="93">
        <v>57979</v>
      </c>
      <c r="I37" s="93">
        <v>54276</v>
      </c>
      <c r="J37" s="93">
        <v>57658</v>
      </c>
      <c r="K37" s="59">
        <v>57658</v>
      </c>
      <c r="L37" s="59">
        <v>57658</v>
      </c>
      <c r="M37" s="59">
        <v>52823</v>
      </c>
      <c r="N37" s="28">
        <v>59964</v>
      </c>
      <c r="O37" s="28">
        <v>55964</v>
      </c>
      <c r="P37" s="106">
        <v>55964</v>
      </c>
      <c r="Q37" s="28">
        <v>49611.70333328571</v>
      </c>
      <c r="R37" s="28">
        <v>62363</v>
      </c>
      <c r="S37" s="28">
        <f>73562*(R37/(R37+R38))</f>
        <v>55518.473768924494</v>
      </c>
      <c r="T37" s="28">
        <v>56000</v>
      </c>
      <c r="U37" s="28">
        <f>(59028.76)*(56000/(56000+18200))/10*12</f>
        <v>53460.009056603783</v>
      </c>
      <c r="V37" s="28">
        <f>T37*1.06</f>
        <v>59360</v>
      </c>
      <c r="W37" s="37"/>
    </row>
    <row r="38" spans="1:23" ht="15" x14ac:dyDescent="0.2">
      <c r="A38" s="37" t="s">
        <v>61</v>
      </c>
      <c r="B38" s="37"/>
      <c r="C38" s="37"/>
      <c r="D38" s="92">
        <v>16820</v>
      </c>
      <c r="E38" s="93">
        <v>14581</v>
      </c>
      <c r="F38" s="93">
        <v>18013</v>
      </c>
      <c r="G38" s="93">
        <v>16010</v>
      </c>
      <c r="H38" s="93">
        <v>16010</v>
      </c>
      <c r="I38" s="93">
        <v>15523</v>
      </c>
      <c r="J38" s="93">
        <f>(J37*0.3249)</f>
        <v>18733.084200000001</v>
      </c>
      <c r="K38" s="59">
        <v>17442</v>
      </c>
      <c r="L38" s="59">
        <v>17442</v>
      </c>
      <c r="M38" s="59">
        <v>17168</v>
      </c>
      <c r="N38" s="28">
        <v>18139</v>
      </c>
      <c r="O38" s="28">
        <v>18188</v>
      </c>
      <c r="P38" s="106">
        <v>18188</v>
      </c>
      <c r="Q38" s="28">
        <v>16124.296666714292</v>
      </c>
      <c r="R38" s="28">
        <v>20268</v>
      </c>
      <c r="S38" s="28">
        <f>73562*(R38/(R38+R37))</f>
        <v>18043.526231075502</v>
      </c>
      <c r="T38" s="28">
        <v>18200</v>
      </c>
      <c r="U38" s="28">
        <f>(59028.76)*(18200/(56000+18200))/10*12</f>
        <v>17374.502943396226</v>
      </c>
      <c r="V38" s="28">
        <f>T38*1.06</f>
        <v>19292</v>
      </c>
      <c r="W38" s="37"/>
    </row>
    <row r="39" spans="1:23" ht="15" x14ac:dyDescent="0.2">
      <c r="A39" s="37" t="s">
        <v>12</v>
      </c>
      <c r="B39" s="37"/>
      <c r="C39" s="37"/>
      <c r="D39" s="94">
        <v>202055</v>
      </c>
      <c r="E39" s="95">
        <v>85232</v>
      </c>
      <c r="F39" s="95">
        <v>260000</v>
      </c>
      <c r="G39" s="95">
        <v>200000</v>
      </c>
      <c r="H39" s="95">
        <v>200000</v>
      </c>
      <c r="I39" s="115">
        <v>169413</v>
      </c>
      <c r="J39" s="95">
        <v>300000</v>
      </c>
      <c r="K39" s="59">
        <v>220000</v>
      </c>
      <c r="L39" s="59">
        <v>220000</v>
      </c>
      <c r="M39" s="59">
        <v>236936</v>
      </c>
      <c r="N39" s="28">
        <v>714000</v>
      </c>
      <c r="O39" s="28">
        <v>300000</v>
      </c>
      <c r="P39" s="106">
        <v>300000</v>
      </c>
      <c r="Q39" s="28">
        <v>314586</v>
      </c>
      <c r="R39" s="28">
        <v>290000</v>
      </c>
      <c r="S39" s="28">
        <v>22590</v>
      </c>
      <c r="T39" s="28">
        <v>300000</v>
      </c>
      <c r="U39" s="59">
        <f>39495.5/10*12</f>
        <v>47394.600000000006</v>
      </c>
      <c r="V39" s="59">
        <f>T39</f>
        <v>300000</v>
      </c>
      <c r="W39" s="37"/>
    </row>
    <row r="40" spans="1:23" ht="15" x14ac:dyDescent="0.2">
      <c r="A40" s="37" t="s">
        <v>13</v>
      </c>
      <c r="B40" s="37"/>
      <c r="C40" s="37"/>
      <c r="D40" s="78"/>
      <c r="E40" s="29"/>
      <c r="F40" s="29"/>
      <c r="G40" s="29"/>
      <c r="H40" s="29"/>
      <c r="I40" s="29"/>
      <c r="J40" s="29"/>
      <c r="K40" s="59"/>
      <c r="L40" s="59"/>
      <c r="M40" s="59"/>
      <c r="N40" s="28"/>
      <c r="O40" s="28"/>
      <c r="P40" s="106"/>
      <c r="Q40" s="28"/>
      <c r="R40" s="28"/>
      <c r="S40" s="28"/>
      <c r="T40" s="28"/>
      <c r="U40" s="59"/>
      <c r="V40" s="59"/>
      <c r="W40" s="37"/>
    </row>
    <row r="41" spans="1:23" ht="15" x14ac:dyDescent="0.2">
      <c r="A41" s="37" t="s">
        <v>14</v>
      </c>
      <c r="B41" s="37"/>
      <c r="C41" s="37"/>
      <c r="D41" s="78"/>
      <c r="E41" s="29"/>
      <c r="F41" s="29"/>
      <c r="G41" s="29"/>
      <c r="H41" s="29"/>
      <c r="I41" s="29"/>
      <c r="J41" s="29"/>
      <c r="K41" s="59"/>
      <c r="L41" s="59"/>
      <c r="M41" s="59"/>
      <c r="N41" s="28"/>
      <c r="O41" s="28"/>
      <c r="P41" s="106"/>
      <c r="Q41" s="28"/>
      <c r="R41" s="28"/>
      <c r="S41" s="28"/>
      <c r="T41" s="28">
        <v>40000</v>
      </c>
      <c r="U41" s="121">
        <v>6500</v>
      </c>
      <c r="V41" s="61">
        <v>5500</v>
      </c>
      <c r="W41" s="37"/>
    </row>
    <row r="42" spans="1:23" ht="15" x14ac:dyDescent="0.2">
      <c r="A42" s="37" t="s">
        <v>15</v>
      </c>
      <c r="B42" s="37"/>
      <c r="C42" s="37"/>
      <c r="D42" s="78"/>
      <c r="E42" s="29"/>
      <c r="F42" s="29"/>
      <c r="G42" s="29"/>
      <c r="H42" s="29"/>
      <c r="I42" s="29"/>
      <c r="J42" s="29"/>
      <c r="K42" s="59"/>
      <c r="L42" s="59"/>
      <c r="M42" s="59"/>
      <c r="N42" s="28"/>
      <c r="O42" s="28"/>
      <c r="P42" s="106"/>
      <c r="Q42" s="28"/>
      <c r="R42" s="28"/>
      <c r="S42" s="28"/>
      <c r="T42" s="28">
        <v>2000</v>
      </c>
      <c r="U42" s="59">
        <f>320.48/10*12</f>
        <v>384.57600000000002</v>
      </c>
      <c r="V42" s="59">
        <f>T42</f>
        <v>2000</v>
      </c>
      <c r="W42" s="37"/>
    </row>
    <row r="43" spans="1:23" ht="15" x14ac:dyDescent="0.2">
      <c r="A43" s="37" t="s">
        <v>33</v>
      </c>
      <c r="B43" s="37"/>
      <c r="C43" s="37"/>
      <c r="D43" s="92">
        <v>1595</v>
      </c>
      <c r="E43" s="93">
        <v>1895</v>
      </c>
      <c r="F43" s="93">
        <v>3000</v>
      </c>
      <c r="G43" s="93">
        <v>3000</v>
      </c>
      <c r="H43" s="93">
        <v>3000</v>
      </c>
      <c r="I43" s="93">
        <v>810</v>
      </c>
      <c r="J43" s="93">
        <v>3000</v>
      </c>
      <c r="K43" s="59">
        <v>3000</v>
      </c>
      <c r="L43" s="59">
        <v>3000</v>
      </c>
      <c r="M43" s="59">
        <v>3558</v>
      </c>
      <c r="N43" s="28">
        <v>3300</v>
      </c>
      <c r="O43" s="28">
        <v>3000</v>
      </c>
      <c r="P43" s="106">
        <v>3000</v>
      </c>
      <c r="Q43" s="28">
        <v>1520</v>
      </c>
      <c r="R43" s="28">
        <v>3000</v>
      </c>
      <c r="S43" s="28">
        <v>1075</v>
      </c>
      <c r="T43" s="28">
        <v>3000</v>
      </c>
      <c r="U43" s="59">
        <f>1520/10*12</f>
        <v>1824</v>
      </c>
      <c r="V43" s="59">
        <f>T43</f>
        <v>3000</v>
      </c>
      <c r="W43" s="37"/>
    </row>
    <row r="44" spans="1:23" ht="15" x14ac:dyDescent="0.2">
      <c r="A44" s="37" t="s">
        <v>34</v>
      </c>
      <c r="B44" s="37"/>
      <c r="C44" s="37"/>
      <c r="D44" s="78"/>
      <c r="E44" s="29"/>
      <c r="F44" s="29"/>
      <c r="G44" s="29"/>
      <c r="H44" s="29"/>
      <c r="I44" s="29"/>
      <c r="J44" s="29"/>
      <c r="K44" s="59"/>
      <c r="L44" s="59"/>
      <c r="M44" s="59"/>
      <c r="N44" s="28"/>
      <c r="O44" s="28"/>
      <c r="P44" s="106"/>
      <c r="Q44" s="28"/>
      <c r="R44" s="28"/>
      <c r="S44" s="28"/>
      <c r="T44" s="28"/>
      <c r="U44" s="59"/>
      <c r="V44" s="59"/>
      <c r="W44" s="37"/>
    </row>
    <row r="45" spans="1:23" ht="15" x14ac:dyDescent="0.2">
      <c r="A45" s="37" t="s">
        <v>18</v>
      </c>
      <c r="B45" s="37"/>
      <c r="C45" s="37"/>
      <c r="D45" s="92"/>
      <c r="E45" s="93">
        <v>1271</v>
      </c>
      <c r="F45" s="93">
        <v>15000</v>
      </c>
      <c r="G45" s="93">
        <v>3000</v>
      </c>
      <c r="H45" s="93">
        <v>3000</v>
      </c>
      <c r="I45" s="93">
        <v>3650</v>
      </c>
      <c r="J45" s="93">
        <v>5000</v>
      </c>
      <c r="K45" s="59">
        <v>5000</v>
      </c>
      <c r="L45" s="59">
        <v>5000</v>
      </c>
      <c r="M45" s="59">
        <v>15118</v>
      </c>
      <c r="N45" s="28">
        <v>50000</v>
      </c>
      <c r="O45" s="28">
        <v>115000</v>
      </c>
      <c r="P45" s="106">
        <v>115000</v>
      </c>
      <c r="Q45" s="28">
        <v>165751</v>
      </c>
      <c r="R45" s="28">
        <v>50000</v>
      </c>
      <c r="S45" s="28">
        <v>17789</v>
      </c>
      <c r="T45" s="28"/>
      <c r="U45" s="59">
        <f>62.5/10*12</f>
        <v>75</v>
      </c>
      <c r="V45" s="59">
        <v>50000</v>
      </c>
      <c r="W45" s="37"/>
    </row>
    <row r="46" spans="1:23" ht="15" x14ac:dyDescent="0.2">
      <c r="A46" s="37" t="s">
        <v>48</v>
      </c>
      <c r="B46" s="37"/>
      <c r="C46" s="37"/>
      <c r="D46" s="92">
        <v>2500</v>
      </c>
      <c r="E46" s="93">
        <v>2500</v>
      </c>
      <c r="F46" s="93">
        <v>2500</v>
      </c>
      <c r="G46" s="93">
        <v>2500</v>
      </c>
      <c r="H46" s="93">
        <v>2500</v>
      </c>
      <c r="I46" s="93">
        <v>2500</v>
      </c>
      <c r="J46" s="93">
        <v>2500</v>
      </c>
      <c r="K46" s="59">
        <v>2700</v>
      </c>
      <c r="L46" s="59">
        <v>2700</v>
      </c>
      <c r="M46" s="59">
        <v>2653</v>
      </c>
      <c r="N46" s="28">
        <v>2500</v>
      </c>
      <c r="O46" s="28">
        <v>2500</v>
      </c>
      <c r="P46" s="106">
        <v>2500</v>
      </c>
      <c r="Q46" s="28">
        <v>70719</v>
      </c>
      <c r="R46" s="28">
        <v>2500</v>
      </c>
      <c r="S46" s="28">
        <v>2500</v>
      </c>
      <c r="T46" s="28"/>
      <c r="U46" s="59">
        <v>3000</v>
      </c>
      <c r="V46" s="59">
        <v>3000</v>
      </c>
      <c r="W46" s="37"/>
    </row>
    <row r="47" spans="1:23" ht="15.75" x14ac:dyDescent="0.25">
      <c r="A47" s="37" t="s">
        <v>39</v>
      </c>
      <c r="B47" s="37"/>
      <c r="C47" s="37"/>
      <c r="D47" s="94">
        <v>119954</v>
      </c>
      <c r="E47" s="115">
        <v>1646</v>
      </c>
      <c r="F47" s="95">
        <v>430000</v>
      </c>
      <c r="G47" s="95">
        <v>204000</v>
      </c>
      <c r="H47" s="95">
        <v>204000</v>
      </c>
      <c r="I47" s="95">
        <v>8765</v>
      </c>
      <c r="J47" s="95">
        <v>520000</v>
      </c>
      <c r="K47" s="59">
        <v>250000</v>
      </c>
      <c r="L47" s="59">
        <v>250000</v>
      </c>
      <c r="M47" s="59">
        <v>676</v>
      </c>
      <c r="N47" s="28">
        <v>850000</v>
      </c>
      <c r="O47" s="28">
        <v>235441</v>
      </c>
      <c r="P47" s="106">
        <v>235441</v>
      </c>
      <c r="Q47" s="28"/>
      <c r="R47" s="28">
        <v>300000</v>
      </c>
      <c r="S47" s="28"/>
      <c r="T47" s="28">
        <v>400000</v>
      </c>
      <c r="U47" s="59"/>
      <c r="V47" s="59"/>
      <c r="W47" s="96">
        <v>1</v>
      </c>
    </row>
    <row r="48" spans="1:23" ht="15.75" x14ac:dyDescent="0.25">
      <c r="A48" s="37" t="s">
        <v>22</v>
      </c>
      <c r="B48" s="37"/>
      <c r="C48" s="37"/>
      <c r="D48" s="94">
        <v>807107</v>
      </c>
      <c r="E48" s="95">
        <v>704281</v>
      </c>
      <c r="F48" s="95">
        <v>730614</v>
      </c>
      <c r="G48" s="95">
        <v>499470</v>
      </c>
      <c r="H48" s="95">
        <v>499470</v>
      </c>
      <c r="I48" s="95">
        <v>303394</v>
      </c>
      <c r="J48" s="95">
        <v>2112000</v>
      </c>
      <c r="K48" s="59">
        <v>889000</v>
      </c>
      <c r="L48" s="59">
        <v>889000</v>
      </c>
      <c r="M48" s="59">
        <v>873296</v>
      </c>
      <c r="N48" s="28">
        <v>2224000</v>
      </c>
      <c r="O48" s="28">
        <v>1102000</v>
      </c>
      <c r="P48" s="106">
        <v>1112198</v>
      </c>
      <c r="Q48" s="28">
        <v>910656</v>
      </c>
      <c r="R48" s="28">
        <v>6720000</v>
      </c>
      <c r="S48" s="28">
        <v>106988</v>
      </c>
      <c r="T48" s="28">
        <v>4048972</v>
      </c>
      <c r="U48" s="59">
        <f>(2575+7256.35)/10*12</f>
        <v>11797.619999999999</v>
      </c>
      <c r="V48" s="59">
        <f>8000000+1000000</f>
        <v>9000000</v>
      </c>
      <c r="W48" s="96">
        <v>2</v>
      </c>
    </row>
    <row r="49" spans="1:23" ht="15.75" x14ac:dyDescent="0.25">
      <c r="A49" s="37" t="s">
        <v>24</v>
      </c>
      <c r="B49" s="37"/>
      <c r="C49" s="37"/>
      <c r="D49" s="97"/>
      <c r="E49" s="33"/>
      <c r="F49" s="33"/>
      <c r="G49" s="33"/>
      <c r="H49" s="33"/>
      <c r="I49" s="33"/>
      <c r="J49" s="33"/>
      <c r="K49" s="59"/>
      <c r="L49" s="59"/>
      <c r="M49" s="59"/>
      <c r="N49" s="28"/>
      <c r="O49" s="28"/>
      <c r="P49" s="106"/>
      <c r="Q49" s="28"/>
      <c r="R49" s="28"/>
      <c r="S49" s="28"/>
      <c r="T49" s="28"/>
      <c r="U49" s="59"/>
      <c r="V49" s="59"/>
      <c r="W49" s="98"/>
    </row>
    <row r="50" spans="1:23" ht="15.75" x14ac:dyDescent="0.25">
      <c r="A50" s="37" t="s">
        <v>38</v>
      </c>
      <c r="B50" s="37"/>
      <c r="C50" s="37"/>
      <c r="D50" s="97">
        <v>5700</v>
      </c>
      <c r="E50" s="33">
        <v>6799</v>
      </c>
      <c r="F50" s="33">
        <v>10000</v>
      </c>
      <c r="G50" s="33">
        <v>15000</v>
      </c>
      <c r="H50" s="33">
        <v>15000</v>
      </c>
      <c r="I50" s="33">
        <v>20401</v>
      </c>
      <c r="J50" s="33">
        <v>10000</v>
      </c>
      <c r="K50" s="59">
        <v>5000</v>
      </c>
      <c r="L50" s="59">
        <v>5000</v>
      </c>
      <c r="M50" s="59">
        <v>3275</v>
      </c>
      <c r="N50" s="28">
        <v>10000</v>
      </c>
      <c r="O50" s="28">
        <v>5000</v>
      </c>
      <c r="P50" s="106">
        <v>5000</v>
      </c>
      <c r="Q50" s="28">
        <v>2979</v>
      </c>
      <c r="R50" s="28">
        <v>10000</v>
      </c>
      <c r="S50" s="28">
        <v>5125</v>
      </c>
      <c r="T50" s="28">
        <v>10000</v>
      </c>
      <c r="U50" s="59">
        <f>3892.88/10*12</f>
        <v>4671.4560000000001</v>
      </c>
      <c r="V50" s="59">
        <v>10000</v>
      </c>
      <c r="W50" s="98"/>
    </row>
    <row r="51" spans="1:23" ht="15.75" x14ac:dyDescent="0.25">
      <c r="A51" s="37" t="s">
        <v>40</v>
      </c>
      <c r="B51" s="37"/>
      <c r="C51" s="37"/>
      <c r="D51" s="97"/>
      <c r="E51" s="33"/>
      <c r="F51" s="33"/>
      <c r="G51" s="33"/>
      <c r="H51" s="33">
        <v>15000</v>
      </c>
      <c r="I51" s="33"/>
      <c r="J51" s="33">
        <v>100000</v>
      </c>
      <c r="K51" s="59">
        <v>10000</v>
      </c>
      <c r="L51" s="59">
        <v>10000</v>
      </c>
      <c r="M51" s="59"/>
      <c r="N51" s="28">
        <v>100000</v>
      </c>
      <c r="O51" s="28">
        <v>100000</v>
      </c>
      <c r="P51" s="106">
        <v>100000</v>
      </c>
      <c r="Q51" s="28"/>
      <c r="R51" s="28">
        <v>250000</v>
      </c>
      <c r="S51" s="28">
        <v>69500</v>
      </c>
      <c r="T51" s="28">
        <v>200000</v>
      </c>
      <c r="U51" s="59">
        <f>135329.41/10*12</f>
        <v>162395.29200000002</v>
      </c>
      <c r="V51" s="59">
        <v>50000</v>
      </c>
      <c r="W51" s="98">
        <v>5</v>
      </c>
    </row>
    <row r="52" spans="1:23" ht="15.75" x14ac:dyDescent="0.25">
      <c r="A52" s="37" t="s">
        <v>70</v>
      </c>
      <c r="B52" s="37"/>
      <c r="C52" s="37"/>
      <c r="D52" s="94"/>
      <c r="E52" s="95">
        <v>9809</v>
      </c>
      <c r="F52" s="95">
        <v>50000</v>
      </c>
      <c r="G52" s="95">
        <v>10000</v>
      </c>
      <c r="H52" s="95">
        <v>10000</v>
      </c>
      <c r="I52" s="95"/>
      <c r="J52" s="95">
        <v>50000</v>
      </c>
      <c r="K52" s="59">
        <v>10000</v>
      </c>
      <c r="L52" s="59">
        <v>10000</v>
      </c>
      <c r="M52" s="59">
        <v>10000</v>
      </c>
      <c r="N52" s="28">
        <v>50000</v>
      </c>
      <c r="O52" s="28">
        <v>10000</v>
      </c>
      <c r="P52" s="106">
        <v>10000</v>
      </c>
      <c r="Q52" s="28"/>
      <c r="R52" s="28">
        <v>30000</v>
      </c>
      <c r="S52" s="28"/>
      <c r="T52" s="28">
        <v>30000</v>
      </c>
      <c r="U52" s="59"/>
      <c r="V52" s="59"/>
      <c r="W52" s="96">
        <v>3</v>
      </c>
    </row>
    <row r="53" spans="1:23" ht="15.75" x14ac:dyDescent="0.25">
      <c r="A53" s="37" t="s">
        <v>45</v>
      </c>
      <c r="B53" s="37"/>
      <c r="C53" s="37"/>
      <c r="D53" s="97"/>
      <c r="E53" s="33"/>
      <c r="F53" s="33"/>
      <c r="G53" s="33"/>
      <c r="H53" s="33"/>
      <c r="I53" s="33"/>
      <c r="J53" s="33"/>
      <c r="K53" s="59"/>
      <c r="L53" s="59"/>
      <c r="M53" s="59"/>
      <c r="N53" s="28"/>
      <c r="O53" s="28"/>
      <c r="P53" s="106"/>
      <c r="Q53" s="28"/>
      <c r="R53" s="28"/>
      <c r="S53" s="28"/>
      <c r="T53" s="28"/>
      <c r="U53" s="59"/>
      <c r="V53" s="59"/>
      <c r="W53" s="98"/>
    </row>
    <row r="54" spans="1:23" ht="15.75" x14ac:dyDescent="0.25">
      <c r="A54" s="37" t="s">
        <v>23</v>
      </c>
      <c r="B54" s="37"/>
      <c r="C54" s="37"/>
      <c r="D54" s="94"/>
      <c r="E54" s="95"/>
      <c r="F54" s="95">
        <v>30000</v>
      </c>
      <c r="G54" s="95">
        <v>25000</v>
      </c>
      <c r="H54" s="95">
        <v>25000</v>
      </c>
      <c r="I54" s="95"/>
      <c r="J54" s="95">
        <v>20000</v>
      </c>
      <c r="K54" s="59"/>
      <c r="L54" s="59"/>
      <c r="M54" s="59">
        <v>200</v>
      </c>
      <c r="N54" s="28"/>
      <c r="O54" s="28"/>
      <c r="P54" s="106"/>
      <c r="Q54" s="28"/>
      <c r="R54" s="28">
        <v>10000</v>
      </c>
      <c r="S54" s="28">
        <v>1110</v>
      </c>
      <c r="T54" s="28">
        <v>40000</v>
      </c>
      <c r="U54" s="59"/>
      <c r="V54" s="59"/>
      <c r="W54" s="96">
        <v>4</v>
      </c>
    </row>
    <row r="55" spans="1:23" ht="15" x14ac:dyDescent="0.2">
      <c r="A55" s="37" t="s">
        <v>102</v>
      </c>
      <c r="B55" s="37"/>
      <c r="C55" s="37"/>
      <c r="D55" s="92">
        <v>269640</v>
      </c>
      <c r="E55" s="93">
        <v>300000</v>
      </c>
      <c r="F55" s="93">
        <v>280000</v>
      </c>
      <c r="G55" s="93">
        <v>300000</v>
      </c>
      <c r="H55" s="93">
        <v>300000</v>
      </c>
      <c r="I55" s="93">
        <v>300000</v>
      </c>
      <c r="J55" s="93">
        <v>300000</v>
      </c>
      <c r="K55" s="59">
        <v>300000</v>
      </c>
      <c r="L55" s="59">
        <v>300000</v>
      </c>
      <c r="M55" s="59">
        <v>300000</v>
      </c>
      <c r="N55" s="28">
        <v>300000</v>
      </c>
      <c r="O55" s="28">
        <v>300000</v>
      </c>
      <c r="P55" s="106">
        <v>300000</v>
      </c>
      <c r="Q55" s="28">
        <v>300000</v>
      </c>
      <c r="R55" s="28">
        <v>300000</v>
      </c>
      <c r="S55" s="28">
        <v>300000</v>
      </c>
      <c r="T55" s="28">
        <v>350000</v>
      </c>
      <c r="U55" s="59">
        <f>T55</f>
        <v>350000</v>
      </c>
      <c r="V55" s="59">
        <v>350000</v>
      </c>
      <c r="W55" s="37"/>
    </row>
    <row r="56" spans="1:23" ht="15.75" x14ac:dyDescent="0.25">
      <c r="A56" s="37" t="s">
        <v>103</v>
      </c>
      <c r="B56" s="37"/>
      <c r="C56" s="37"/>
      <c r="D56" s="92"/>
      <c r="E56" s="93"/>
      <c r="F56" s="93"/>
      <c r="G56" s="93"/>
      <c r="H56" s="93"/>
      <c r="I56" s="93"/>
      <c r="J56" s="93"/>
      <c r="K56" s="59"/>
      <c r="L56" s="59"/>
      <c r="M56" s="59"/>
      <c r="N56" s="28"/>
      <c r="O56" s="28"/>
      <c r="P56" s="106"/>
      <c r="Q56" s="28"/>
      <c r="R56" s="28">
        <v>105000</v>
      </c>
      <c r="S56" s="28">
        <v>115071</v>
      </c>
      <c r="T56" s="28">
        <v>60000</v>
      </c>
      <c r="U56" s="59"/>
      <c r="V56" s="59"/>
      <c r="W56" s="27">
        <v>6</v>
      </c>
    </row>
    <row r="57" spans="1:23" ht="15" x14ac:dyDescent="0.2">
      <c r="A57" s="37" t="s">
        <v>104</v>
      </c>
      <c r="B57" s="37"/>
      <c r="C57" s="37"/>
      <c r="D57" s="97">
        <v>-485</v>
      </c>
      <c r="E57" s="33"/>
      <c r="F57" s="33">
        <v>20000</v>
      </c>
      <c r="G57" s="33">
        <v>12186</v>
      </c>
      <c r="H57" s="33">
        <v>12186</v>
      </c>
      <c r="I57" s="114"/>
      <c r="J57" s="33">
        <v>15000</v>
      </c>
      <c r="K57" s="59">
        <v>3184</v>
      </c>
      <c r="L57" s="59">
        <v>3184</v>
      </c>
      <c r="M57" s="59"/>
      <c r="N57" s="28">
        <v>10000</v>
      </c>
      <c r="O57" s="28">
        <v>12792</v>
      </c>
      <c r="P57" s="106">
        <v>12792</v>
      </c>
      <c r="Q57" s="28"/>
      <c r="R57" s="28">
        <v>10000</v>
      </c>
      <c r="S57" s="28"/>
      <c r="T57" s="28">
        <v>10000</v>
      </c>
      <c r="U57" s="59"/>
      <c r="V57" s="59">
        <f>T57</f>
        <v>10000</v>
      </c>
      <c r="W57" s="37"/>
    </row>
    <row r="58" spans="1:23" ht="15" x14ac:dyDescent="0.2">
      <c r="A58" s="37" t="s">
        <v>105</v>
      </c>
      <c r="B58" s="37"/>
      <c r="C58" s="37"/>
      <c r="D58" s="92"/>
      <c r="E58" s="93"/>
      <c r="F58" s="93">
        <v>500</v>
      </c>
      <c r="G58" s="93"/>
      <c r="H58" s="93"/>
      <c r="I58" s="93"/>
      <c r="J58" s="93">
        <v>500</v>
      </c>
      <c r="K58" s="59">
        <v>1500</v>
      </c>
      <c r="L58" s="59">
        <v>1500</v>
      </c>
      <c r="M58" s="59"/>
      <c r="N58" s="28">
        <v>1500</v>
      </c>
      <c r="O58" s="28">
        <v>400</v>
      </c>
      <c r="P58" s="106">
        <v>400</v>
      </c>
      <c r="Q58" s="28">
        <v>647</v>
      </c>
      <c r="R58" s="28">
        <v>1000</v>
      </c>
      <c r="S58" s="28">
        <v>568</v>
      </c>
      <c r="T58" s="28">
        <v>1000</v>
      </c>
      <c r="U58" s="59">
        <f>(30+62.81+602.83)/10*12</f>
        <v>834.76800000000003</v>
      </c>
      <c r="V58" s="59"/>
      <c r="W58" s="37"/>
    </row>
    <row r="59" spans="1:23" ht="15.75" x14ac:dyDescent="0.25">
      <c r="A59" s="26" t="s">
        <v>28</v>
      </c>
      <c r="B59" s="37"/>
      <c r="C59" s="37"/>
      <c r="D59" s="99">
        <f t="shared" ref="D59:J59" si="11">SUM(D37:D58)</f>
        <v>1476657</v>
      </c>
      <c r="E59" s="100">
        <f t="shared" si="11"/>
        <v>1178998</v>
      </c>
      <c r="F59" s="100">
        <f t="shared" si="11"/>
        <v>1905068</v>
      </c>
      <c r="G59" s="100">
        <f t="shared" si="11"/>
        <v>1348145</v>
      </c>
      <c r="H59" s="100">
        <f t="shared" si="11"/>
        <v>1363145</v>
      </c>
      <c r="I59" s="100">
        <f t="shared" si="11"/>
        <v>878732</v>
      </c>
      <c r="J59" s="100">
        <f t="shared" si="11"/>
        <v>3514391.0841999999</v>
      </c>
      <c r="K59" s="83">
        <f>SUM(K37:K58)</f>
        <v>1774484</v>
      </c>
      <c r="L59" s="83">
        <f>SUM(L37:L58)</f>
        <v>1774484</v>
      </c>
      <c r="M59" s="83">
        <f>SUM(M37:M58)</f>
        <v>1515703</v>
      </c>
      <c r="N59" s="66">
        <f>SUM(N37:N58)</f>
        <v>4393403</v>
      </c>
      <c r="O59" s="66">
        <f t="shared" ref="O59:T59" si="12">SUM(O37:O58)</f>
        <v>2260285</v>
      </c>
      <c r="P59" s="107">
        <f t="shared" si="12"/>
        <v>2270483</v>
      </c>
      <c r="Q59" s="66">
        <f t="shared" si="12"/>
        <v>1832594</v>
      </c>
      <c r="R59" s="66">
        <f t="shared" si="12"/>
        <v>8164131</v>
      </c>
      <c r="S59" s="66">
        <f t="shared" si="12"/>
        <v>715878</v>
      </c>
      <c r="T59" s="66">
        <f t="shared" si="12"/>
        <v>5569172</v>
      </c>
      <c r="U59" s="83">
        <f>SUM(U37:U58)</f>
        <v>659711.82400000014</v>
      </c>
      <c r="V59" s="83">
        <f>SUM(V37:V58)</f>
        <v>9862152</v>
      </c>
      <c r="W59" s="37"/>
    </row>
    <row r="60" spans="1:23" ht="15.75" x14ac:dyDescent="0.25">
      <c r="A60" s="26" t="s">
        <v>29</v>
      </c>
      <c r="B60" s="37"/>
      <c r="C60" s="37"/>
      <c r="D60" s="37"/>
      <c r="E60" s="100"/>
      <c r="F60" s="100">
        <f>+F15-F35-F59</f>
        <v>386033.81000000006</v>
      </c>
      <c r="G60" s="100"/>
      <c r="H60" s="100"/>
      <c r="I60" s="100"/>
      <c r="J60" s="100">
        <v>179587</v>
      </c>
      <c r="K60" s="83">
        <v>179587</v>
      </c>
      <c r="L60" s="59"/>
      <c r="M60" s="59"/>
      <c r="N60" s="66">
        <f>+N15-N35-N59</f>
        <v>1165875</v>
      </c>
      <c r="O60" s="66">
        <v>200000</v>
      </c>
      <c r="P60" s="107"/>
      <c r="Q60" s="66"/>
      <c r="R60" s="66">
        <f>SUM(R15-R35-R59)</f>
        <v>46324</v>
      </c>
      <c r="S60" s="66"/>
      <c r="T60" s="66">
        <f>SUM(T15-T35-T59)</f>
        <v>2812752</v>
      </c>
      <c r="U60" s="59"/>
      <c r="V60" s="66">
        <f>SUM(V15-V35-V59)</f>
        <v>2297871.8359999992</v>
      </c>
      <c r="W60" s="37"/>
    </row>
    <row r="61" spans="1:23" ht="15.75" x14ac:dyDescent="0.25">
      <c r="A61" s="62" t="s">
        <v>35</v>
      </c>
      <c r="B61" s="62"/>
      <c r="C61" s="63"/>
      <c r="D61" s="101">
        <f t="shared" ref="D61:M61" si="13">+D35+D59+D60</f>
        <v>1706621</v>
      </c>
      <c r="E61" s="101">
        <f t="shared" si="13"/>
        <v>1416893</v>
      </c>
      <c r="F61" s="101">
        <f t="shared" si="13"/>
        <v>2562286</v>
      </c>
      <c r="G61" s="101">
        <f t="shared" si="13"/>
        <v>1616133</v>
      </c>
      <c r="H61" s="101">
        <f t="shared" si="13"/>
        <v>1631133</v>
      </c>
      <c r="I61" s="101">
        <f t="shared" si="13"/>
        <v>1135272</v>
      </c>
      <c r="J61" s="101">
        <f t="shared" si="13"/>
        <v>3966416.0353999999</v>
      </c>
      <c r="K61" s="101">
        <f t="shared" si="13"/>
        <v>2214071</v>
      </c>
      <c r="L61" s="101">
        <f t="shared" si="13"/>
        <v>2034484</v>
      </c>
      <c r="M61" s="101">
        <f t="shared" si="13"/>
        <v>1766871</v>
      </c>
      <c r="N61" s="66">
        <f>N35+N59+N60</f>
        <v>5841496</v>
      </c>
      <c r="O61" s="66">
        <f t="shared" ref="O61:T61" si="14">O35+O59+O60</f>
        <v>2734575</v>
      </c>
      <c r="P61" s="107">
        <f t="shared" si="14"/>
        <v>2544773</v>
      </c>
      <c r="Q61" s="66">
        <f t="shared" si="14"/>
        <v>2093375</v>
      </c>
      <c r="R61" s="66">
        <f t="shared" si="14"/>
        <v>8511653</v>
      </c>
      <c r="S61" s="66">
        <f t="shared" si="14"/>
        <v>1001555</v>
      </c>
      <c r="T61" s="66">
        <f t="shared" si="14"/>
        <v>8695161</v>
      </c>
      <c r="U61" s="101">
        <f t="shared" ref="U61:V61" si="15">+U35+U59+U60</f>
        <v>944631.20400000014</v>
      </c>
      <c r="V61" s="101">
        <f t="shared" si="15"/>
        <v>12503953.835999999</v>
      </c>
      <c r="W61" s="37"/>
    </row>
    <row r="62" spans="1:23" ht="15.75" x14ac:dyDescent="0.25">
      <c r="A62" s="55"/>
      <c r="B62" s="55"/>
      <c r="C62" s="55"/>
      <c r="D62" s="102"/>
      <c r="E62" s="103"/>
      <c r="F62" s="103"/>
      <c r="G62" s="103"/>
      <c r="H62" s="103"/>
      <c r="I62" s="103"/>
      <c r="J62" s="36"/>
      <c r="K62" s="91"/>
      <c r="L62" s="91"/>
      <c r="M62" s="91"/>
      <c r="N62" s="90"/>
      <c r="O62" s="90"/>
      <c r="P62" s="106"/>
      <c r="Q62" s="90"/>
      <c r="R62" s="90"/>
      <c r="S62" s="90"/>
      <c r="T62" s="90"/>
      <c r="U62" s="91"/>
      <c r="V62" s="91"/>
      <c r="W62" s="37"/>
    </row>
    <row r="63" spans="1:23" ht="15.75" x14ac:dyDescent="0.25">
      <c r="A63" s="62" t="s">
        <v>27</v>
      </c>
      <c r="B63" s="62"/>
      <c r="C63" s="63"/>
      <c r="D63" s="100">
        <f>+D15-D35-D59</f>
        <v>1319624</v>
      </c>
      <c r="E63" s="113">
        <f>+E15-E35-E59</f>
        <v>1603693</v>
      </c>
      <c r="F63" s="100"/>
      <c r="G63" s="100">
        <f>G15-G35-G59</f>
        <v>2044327</v>
      </c>
      <c r="H63" s="100">
        <f>H15-H35-H59</f>
        <v>2029327</v>
      </c>
      <c r="I63" s="113">
        <f>I15-I35-I59</f>
        <v>2369999</v>
      </c>
      <c r="J63" s="100"/>
      <c r="K63" s="100">
        <f>K15-K59-K60</f>
        <v>3224896</v>
      </c>
      <c r="L63" s="100">
        <f>L15-L59-L60</f>
        <v>3404483</v>
      </c>
      <c r="M63" s="113">
        <f>M15-M35-M59</f>
        <v>2612348</v>
      </c>
      <c r="N63" s="28"/>
      <c r="O63" s="100">
        <f t="shared" ref="O63:P63" si="16">O15-O59-O60</f>
        <v>3453123</v>
      </c>
      <c r="P63" s="111">
        <f t="shared" si="16"/>
        <v>3642925</v>
      </c>
      <c r="Q63" s="100">
        <f>Q15-Q35-Q59</f>
        <v>2696882</v>
      </c>
      <c r="R63" s="100"/>
      <c r="S63" s="100">
        <f>S15-S35-S59</f>
        <v>4002677</v>
      </c>
      <c r="T63" s="100"/>
      <c r="U63" s="111">
        <f>U15-U35-U59</f>
        <v>5718490.8360000001</v>
      </c>
      <c r="V63" s="100"/>
      <c r="W63" s="37"/>
    </row>
    <row r="64" spans="1:23" ht="15" x14ac:dyDescent="0.25">
      <c r="A64" s="24"/>
      <c r="B64" s="24"/>
      <c r="C64" s="13"/>
      <c r="D64" s="2"/>
      <c r="E64" s="2"/>
      <c r="F64" s="2"/>
      <c r="G64" s="2"/>
      <c r="H64" s="2"/>
      <c r="I64" s="2"/>
      <c r="J64" s="2"/>
      <c r="K64" s="2"/>
    </row>
    <row r="65" spans="1:1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9" spans="1:11" hidden="1" x14ac:dyDescent="0.2"/>
    <row r="82" hidden="1" x14ac:dyDescent="0.2"/>
  </sheetData>
  <pageMargins left="0.36" right="0.35" top="0.75" bottom="0.25" header="0.5" footer="0.5"/>
  <pageSetup scale="54" orientation="landscape" r:id="rId1"/>
  <headerFooter alignWithMargins="0">
    <oddHeader>&amp;C&amp;"Arial,Bold"&amp;12City of Florida City
Community Redevlopment Agency
FY 2019-20 Proposed Budget
FY 2019-20 begins October 1,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zoomScaleNormal="100" zoomScaleSheetLayoutView="75" zoomScalePageLayoutView="75" workbookViewId="0">
      <pane xSplit="3" ySplit="7" topLeftCell="S35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V42" sqref="V42"/>
    </sheetView>
  </sheetViews>
  <sheetFormatPr defaultRowHeight="12.75" x14ac:dyDescent="0.2"/>
  <cols>
    <col min="1" max="1" width="19.5703125" customWidth="1"/>
    <col min="2" max="2" width="13.5703125" customWidth="1"/>
    <col min="3" max="3" width="12.7109375" customWidth="1"/>
    <col min="4" max="5" width="11.85546875" customWidth="1"/>
    <col min="6" max="8" width="11.85546875" hidden="1" customWidth="1"/>
    <col min="9" max="9" width="11.85546875" customWidth="1"/>
    <col min="10" max="10" width="11.85546875" hidden="1" customWidth="1"/>
    <col min="11" max="11" width="13.85546875" hidden="1" customWidth="1"/>
    <col min="12" max="12" width="14.140625" hidden="1" customWidth="1"/>
    <col min="13" max="13" width="14.140625" customWidth="1"/>
    <col min="14" max="16" width="15.85546875" hidden="1" customWidth="1"/>
    <col min="17" max="17" width="15.85546875" customWidth="1"/>
    <col min="18" max="18" width="14.85546875" hidden="1" customWidth="1"/>
    <col min="19" max="19" width="14.85546875" customWidth="1"/>
    <col min="20" max="23" width="14.140625" customWidth="1"/>
    <col min="24" max="27" width="0" hidden="1" customWidth="1"/>
  </cols>
  <sheetData>
    <row r="1" spans="1:24" ht="18" x14ac:dyDescent="0.25">
      <c r="A1" s="25" t="s">
        <v>86</v>
      </c>
      <c r="B1" s="21"/>
      <c r="C1" s="2"/>
      <c r="E1" s="2"/>
      <c r="F1" s="2"/>
      <c r="G1" s="2"/>
      <c r="H1" s="22" t="s">
        <v>42</v>
      </c>
      <c r="I1" s="2"/>
      <c r="J1" s="2"/>
      <c r="K1" s="2"/>
    </row>
    <row r="2" spans="1:24" ht="15" x14ac:dyDescent="0.25">
      <c r="A2" s="21"/>
      <c r="B2" s="21"/>
      <c r="C2" s="2"/>
      <c r="E2" s="2"/>
      <c r="F2" s="2"/>
      <c r="G2" s="2"/>
      <c r="H2" s="22" t="s">
        <v>43</v>
      </c>
      <c r="I2" s="2"/>
      <c r="J2" s="2"/>
      <c r="K2" s="2"/>
    </row>
    <row r="3" spans="1:24" ht="15" x14ac:dyDescent="0.25">
      <c r="A3" s="14"/>
      <c r="B3" s="14"/>
      <c r="C3" s="2"/>
      <c r="E3" s="2"/>
      <c r="F3" s="2"/>
      <c r="G3" s="2"/>
      <c r="H3" s="22" t="s">
        <v>87</v>
      </c>
      <c r="I3" s="2"/>
      <c r="J3" s="2"/>
      <c r="K3" s="2"/>
    </row>
    <row r="4" spans="1:24" ht="14.25" x14ac:dyDescent="0.2">
      <c r="A4" s="2"/>
      <c r="B4" s="2"/>
      <c r="C4" s="2"/>
      <c r="E4" s="2"/>
      <c r="F4" s="2"/>
      <c r="G4" s="2"/>
      <c r="H4" s="23" t="s">
        <v>88</v>
      </c>
      <c r="I4" s="2"/>
      <c r="J4" s="2"/>
      <c r="K4" s="2"/>
    </row>
    <row r="5" spans="1:24" ht="15.75" x14ac:dyDescent="0.25">
      <c r="A5" s="54"/>
      <c r="B5" s="54"/>
      <c r="C5" s="55"/>
      <c r="D5" s="44" t="s">
        <v>71</v>
      </c>
      <c r="E5" s="44" t="s">
        <v>74</v>
      </c>
      <c r="F5" s="44" t="s">
        <v>75</v>
      </c>
      <c r="G5" s="44" t="s">
        <v>75</v>
      </c>
      <c r="H5" s="44" t="s">
        <v>75</v>
      </c>
      <c r="I5" s="44" t="s">
        <v>75</v>
      </c>
      <c r="J5" s="44" t="s">
        <v>78</v>
      </c>
      <c r="K5" s="56" t="s">
        <v>78</v>
      </c>
      <c r="L5" s="44" t="s">
        <v>78</v>
      </c>
      <c r="M5" s="44" t="s">
        <v>78</v>
      </c>
      <c r="N5" s="44" t="s">
        <v>89</v>
      </c>
      <c r="O5" s="44" t="s">
        <v>89</v>
      </c>
      <c r="P5" s="104" t="s">
        <v>89</v>
      </c>
      <c r="Q5" s="44" t="s">
        <v>89</v>
      </c>
      <c r="R5" s="44" t="s">
        <v>101</v>
      </c>
      <c r="S5" s="44" t="s">
        <v>101</v>
      </c>
      <c r="T5" s="44" t="s">
        <v>106</v>
      </c>
      <c r="U5" s="44" t="s">
        <v>108</v>
      </c>
      <c r="V5" s="44" t="s">
        <v>108</v>
      </c>
      <c r="W5" s="44" t="s">
        <v>109</v>
      </c>
      <c r="X5" s="37"/>
    </row>
    <row r="6" spans="1:24" ht="15.75" x14ac:dyDescent="0.25">
      <c r="A6" s="54"/>
      <c r="B6" s="54"/>
      <c r="C6" s="55"/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57" t="s">
        <v>0</v>
      </c>
      <c r="L6" s="48" t="s">
        <v>0</v>
      </c>
      <c r="M6" s="48" t="s">
        <v>0</v>
      </c>
      <c r="N6" s="48" t="s">
        <v>0</v>
      </c>
      <c r="O6" s="48" t="s">
        <v>0</v>
      </c>
      <c r="P6" s="105" t="s">
        <v>0</v>
      </c>
      <c r="Q6" s="48" t="s">
        <v>0</v>
      </c>
      <c r="R6" s="48" t="s">
        <v>0</v>
      </c>
      <c r="S6" s="48" t="s">
        <v>0</v>
      </c>
      <c r="T6" s="48" t="s">
        <v>0</v>
      </c>
      <c r="U6" s="48" t="s">
        <v>0</v>
      </c>
      <c r="V6" s="48" t="s">
        <v>0</v>
      </c>
      <c r="W6" s="48" t="s">
        <v>0</v>
      </c>
      <c r="X6" s="37"/>
    </row>
    <row r="7" spans="1:24" ht="15.75" x14ac:dyDescent="0.25">
      <c r="A7" s="54" t="s">
        <v>9</v>
      </c>
      <c r="B7" s="54"/>
      <c r="C7" s="55"/>
      <c r="D7" s="51" t="s">
        <v>1</v>
      </c>
      <c r="E7" s="51" t="s">
        <v>1</v>
      </c>
      <c r="F7" s="51" t="s">
        <v>3</v>
      </c>
      <c r="G7" s="51" t="s">
        <v>73</v>
      </c>
      <c r="H7" s="51" t="s">
        <v>85</v>
      </c>
      <c r="I7" s="51" t="s">
        <v>1</v>
      </c>
      <c r="J7" s="51" t="s">
        <v>3</v>
      </c>
      <c r="K7" s="58" t="s">
        <v>73</v>
      </c>
      <c r="L7" s="51" t="s">
        <v>85</v>
      </c>
      <c r="M7" s="51" t="s">
        <v>1</v>
      </c>
      <c r="N7" s="51" t="s">
        <v>3</v>
      </c>
      <c r="O7" s="51" t="s">
        <v>73</v>
      </c>
      <c r="P7" s="112" t="s">
        <v>85</v>
      </c>
      <c r="Q7" s="51" t="s">
        <v>1</v>
      </c>
      <c r="R7" s="51" t="s">
        <v>96</v>
      </c>
      <c r="S7" s="51" t="s">
        <v>1</v>
      </c>
      <c r="T7" s="51" t="s">
        <v>1</v>
      </c>
      <c r="U7" s="51" t="s">
        <v>3</v>
      </c>
      <c r="V7" s="51" t="s">
        <v>85</v>
      </c>
      <c r="W7" s="51" t="s">
        <v>96</v>
      </c>
      <c r="X7" s="37"/>
    </row>
    <row r="8" spans="1:24" ht="15" x14ac:dyDescent="0.2">
      <c r="A8" s="37" t="s">
        <v>6</v>
      </c>
      <c r="B8" s="37"/>
      <c r="C8" s="37"/>
      <c r="D8" s="59">
        <v>969326</v>
      </c>
      <c r="E8" s="60">
        <v>1012003</v>
      </c>
      <c r="F8" s="59">
        <v>1142072</v>
      </c>
      <c r="G8" s="59">
        <v>1142072</v>
      </c>
      <c r="H8" s="59">
        <v>1142072</v>
      </c>
      <c r="I8" s="60">
        <v>1142072</v>
      </c>
      <c r="J8" s="60">
        <v>1108901</v>
      </c>
      <c r="K8" s="28">
        <v>1108901</v>
      </c>
      <c r="L8" s="28">
        <v>1108901</v>
      </c>
      <c r="M8" s="28">
        <v>1108901</v>
      </c>
      <c r="N8" s="28">
        <v>1222832</v>
      </c>
      <c r="O8" s="28">
        <v>1222832</v>
      </c>
      <c r="P8" s="106">
        <v>1222832</v>
      </c>
      <c r="Q8" s="28">
        <v>1222832</v>
      </c>
      <c r="R8" s="28">
        <v>1325116</v>
      </c>
      <c r="S8" s="28">
        <v>1325116</v>
      </c>
      <c r="T8" s="28">
        <v>1371650</v>
      </c>
      <c r="U8" s="28">
        <v>1513295</v>
      </c>
      <c r="V8" s="28">
        <v>1513078</v>
      </c>
      <c r="W8" s="28">
        <v>1867733</v>
      </c>
      <c r="X8" s="37"/>
    </row>
    <row r="9" spans="1:24" ht="15" x14ac:dyDescent="0.2">
      <c r="A9" s="37" t="s">
        <v>7</v>
      </c>
      <c r="B9" s="37"/>
      <c r="C9" s="37"/>
      <c r="D9" s="59">
        <v>596022</v>
      </c>
      <c r="E9" s="59">
        <v>662824</v>
      </c>
      <c r="F9" s="59">
        <v>741746</v>
      </c>
      <c r="G9" s="59">
        <v>741746</v>
      </c>
      <c r="H9" s="59">
        <v>741746</v>
      </c>
      <c r="I9" s="59">
        <v>741746</v>
      </c>
      <c r="J9" s="59">
        <v>720188</v>
      </c>
      <c r="K9" s="28">
        <v>720188</v>
      </c>
      <c r="L9" s="28">
        <v>720188</v>
      </c>
      <c r="M9" s="28">
        <v>720188</v>
      </c>
      <c r="N9" s="28">
        <v>794181</v>
      </c>
      <c r="O9" s="28">
        <v>794181</v>
      </c>
      <c r="P9" s="106">
        <v>794181</v>
      </c>
      <c r="Q9" s="28">
        <v>794181</v>
      </c>
      <c r="R9" s="28">
        <v>860612</v>
      </c>
      <c r="S9" s="28">
        <v>860612</v>
      </c>
      <c r="T9" s="28">
        <v>890834</v>
      </c>
      <c r="U9" s="28">
        <v>968168</v>
      </c>
      <c r="V9" s="28">
        <v>968029</v>
      </c>
      <c r="W9" s="28">
        <v>1245227</v>
      </c>
      <c r="X9" s="37"/>
    </row>
    <row r="10" spans="1:24" ht="15.75" x14ac:dyDescent="0.25">
      <c r="A10" s="37" t="s">
        <v>4</v>
      </c>
      <c r="B10" s="37"/>
      <c r="C10" s="37"/>
      <c r="D10" s="59">
        <v>1450823</v>
      </c>
      <c r="E10" s="59">
        <v>1319621</v>
      </c>
      <c r="F10" s="59">
        <v>673468</v>
      </c>
      <c r="G10" s="59">
        <v>1603642</v>
      </c>
      <c r="H10" s="59">
        <v>1603642</v>
      </c>
      <c r="I10" s="118">
        <f>E63</f>
        <v>1603693</v>
      </c>
      <c r="J10" s="59">
        <v>2029327</v>
      </c>
      <c r="K10" s="28">
        <v>3124878</v>
      </c>
      <c r="L10" s="28">
        <v>3124878</v>
      </c>
      <c r="M10" s="119">
        <f>I63</f>
        <v>2369999</v>
      </c>
      <c r="N10" s="28">
        <v>3404483</v>
      </c>
      <c r="O10" s="28">
        <v>3618395</v>
      </c>
      <c r="P10" s="106">
        <v>3618395</v>
      </c>
      <c r="Q10" s="28">
        <f>M63</f>
        <v>2612348</v>
      </c>
      <c r="R10" s="110">
        <v>3642925</v>
      </c>
      <c r="S10" s="28">
        <f>Q63</f>
        <v>2696882</v>
      </c>
      <c r="T10" s="28">
        <f>S63</f>
        <v>4002677</v>
      </c>
      <c r="U10" s="110">
        <v>5718490.8360000001</v>
      </c>
      <c r="V10" s="28">
        <f>T63</f>
        <v>6400454.04</v>
      </c>
      <c r="W10" s="110">
        <f>V63</f>
        <v>10684408.791999999</v>
      </c>
      <c r="X10" s="37"/>
    </row>
    <row r="11" spans="1:24" ht="15" x14ac:dyDescent="0.2">
      <c r="A11" s="37" t="s">
        <v>26</v>
      </c>
      <c r="B11" s="37"/>
      <c r="C11" s="37"/>
      <c r="D11" s="61"/>
      <c r="E11" s="61">
        <v>24878</v>
      </c>
      <c r="F11" s="61"/>
      <c r="G11" s="61">
        <v>164000</v>
      </c>
      <c r="H11" s="61">
        <v>164000</v>
      </c>
      <c r="I11" s="61">
        <v>6160</v>
      </c>
      <c r="J11" s="61">
        <v>100000</v>
      </c>
      <c r="K11" s="28">
        <v>210000</v>
      </c>
      <c r="L11" s="28">
        <v>210000</v>
      </c>
      <c r="M11" s="28">
        <v>3421</v>
      </c>
      <c r="N11" s="28">
        <v>400000</v>
      </c>
      <c r="O11" s="28">
        <v>10000</v>
      </c>
      <c r="P11" s="106">
        <v>10000</v>
      </c>
      <c r="Q11" s="28">
        <v>0</v>
      </c>
      <c r="R11" s="28">
        <v>153000</v>
      </c>
      <c r="S11" s="28"/>
      <c r="T11" s="28">
        <v>61510.5</v>
      </c>
      <c r="U11" s="28"/>
      <c r="V11" s="28"/>
      <c r="W11" s="28"/>
      <c r="X11" s="37"/>
    </row>
    <row r="12" spans="1:24" ht="15" x14ac:dyDescent="0.2">
      <c r="A12" s="37" t="s">
        <v>95</v>
      </c>
      <c r="B12" s="37"/>
      <c r="C12" s="37"/>
      <c r="D12" s="61"/>
      <c r="E12" s="61"/>
      <c r="F12" s="61"/>
      <c r="G12" s="61"/>
      <c r="H12" s="61"/>
      <c r="I12" s="61"/>
      <c r="J12" s="61"/>
      <c r="K12" s="28"/>
      <c r="L12" s="28"/>
      <c r="M12" s="28">
        <v>161370</v>
      </c>
      <c r="N12" s="28"/>
      <c r="O12" s="28">
        <v>250000</v>
      </c>
      <c r="P12" s="106">
        <v>250000</v>
      </c>
      <c r="Q12" s="28">
        <v>137487</v>
      </c>
      <c r="R12" s="28">
        <v>2512000</v>
      </c>
      <c r="S12" s="28">
        <v>84738</v>
      </c>
      <c r="T12" s="28">
        <v>1036391.5</v>
      </c>
      <c r="U12" s="28">
        <v>4294000</v>
      </c>
      <c r="V12" s="28">
        <v>2667422.7999999998</v>
      </c>
      <c r="W12" s="28">
        <v>0</v>
      </c>
      <c r="X12" s="37"/>
    </row>
    <row r="13" spans="1:24" ht="15" x14ac:dyDescent="0.2">
      <c r="A13" s="37" t="s">
        <v>68</v>
      </c>
      <c r="B13" s="37"/>
      <c r="C13" s="37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106"/>
      <c r="Q13" s="28"/>
      <c r="R13" s="28"/>
      <c r="S13" s="28"/>
      <c r="T13" s="28"/>
      <c r="U13" s="28"/>
      <c r="V13" s="28"/>
      <c r="W13" s="28"/>
      <c r="X13" s="37"/>
    </row>
    <row r="14" spans="1:24" ht="15" x14ac:dyDescent="0.2">
      <c r="A14" s="37" t="s">
        <v>5</v>
      </c>
      <c r="B14" s="37"/>
      <c r="C14" s="37"/>
      <c r="D14" s="61">
        <v>10074</v>
      </c>
      <c r="E14" s="61">
        <v>1260</v>
      </c>
      <c r="F14" s="61">
        <v>5000</v>
      </c>
      <c r="G14" s="61">
        <v>9000</v>
      </c>
      <c r="H14" s="61">
        <v>9000</v>
      </c>
      <c r="I14" s="61">
        <v>11600</v>
      </c>
      <c r="J14" s="61">
        <v>8000</v>
      </c>
      <c r="K14" s="28">
        <v>15000</v>
      </c>
      <c r="L14" s="28">
        <v>15000</v>
      </c>
      <c r="M14" s="28">
        <v>15340</v>
      </c>
      <c r="N14" s="28">
        <v>20000</v>
      </c>
      <c r="O14" s="28">
        <v>18000</v>
      </c>
      <c r="P14" s="106">
        <v>18000</v>
      </c>
      <c r="Q14" s="28">
        <v>23409</v>
      </c>
      <c r="R14" s="28">
        <v>18000</v>
      </c>
      <c r="S14" s="28">
        <v>36884</v>
      </c>
      <c r="T14" s="28">
        <v>9020.5</v>
      </c>
      <c r="U14" s="28">
        <v>10000</v>
      </c>
      <c r="V14" s="28">
        <f>4354.24/10*12</f>
        <v>5225.0879999999997</v>
      </c>
      <c r="W14" s="28">
        <v>10000</v>
      </c>
      <c r="X14" s="37"/>
    </row>
    <row r="15" spans="1:24" ht="15.75" x14ac:dyDescent="0.25">
      <c r="A15" s="62" t="s">
        <v>25</v>
      </c>
      <c r="B15" s="62"/>
      <c r="C15" s="63"/>
      <c r="D15" s="64">
        <f t="shared" ref="D15:T15" si="0">SUM(D8:D14)</f>
        <v>3026245</v>
      </c>
      <c r="E15" s="64">
        <f t="shared" si="0"/>
        <v>3020586</v>
      </c>
      <c r="F15" s="64">
        <f t="shared" si="0"/>
        <v>2562286</v>
      </c>
      <c r="G15" s="65">
        <f t="shared" si="0"/>
        <v>3660460</v>
      </c>
      <c r="H15" s="65">
        <f t="shared" si="0"/>
        <v>3660460</v>
      </c>
      <c r="I15" s="117">
        <f t="shared" si="0"/>
        <v>3505271</v>
      </c>
      <c r="J15" s="64">
        <f t="shared" si="0"/>
        <v>3966416</v>
      </c>
      <c r="K15" s="66">
        <f t="shared" si="0"/>
        <v>5178967</v>
      </c>
      <c r="L15" s="66">
        <f t="shared" si="0"/>
        <v>5178967</v>
      </c>
      <c r="M15" s="120">
        <f>SUM(M8:M14)</f>
        <v>4379219</v>
      </c>
      <c r="N15" s="66">
        <f t="shared" si="0"/>
        <v>5841496</v>
      </c>
      <c r="O15" s="66">
        <f t="shared" si="0"/>
        <v>5913408</v>
      </c>
      <c r="P15" s="107">
        <f t="shared" si="0"/>
        <v>5913408</v>
      </c>
      <c r="Q15" s="66">
        <f t="shared" si="0"/>
        <v>4790257</v>
      </c>
      <c r="R15" s="66">
        <f t="shared" si="0"/>
        <v>8511653</v>
      </c>
      <c r="S15" s="66">
        <f t="shared" si="0"/>
        <v>5004232</v>
      </c>
      <c r="T15" s="66">
        <f t="shared" si="0"/>
        <v>7372083.5</v>
      </c>
      <c r="U15" s="66">
        <f t="shared" ref="U15:W15" si="1">SUM(U8:U14)</f>
        <v>12503953.835999999</v>
      </c>
      <c r="V15" s="66">
        <f t="shared" ref="V15" si="2">SUM(V8:V14)</f>
        <v>11554208.927999999</v>
      </c>
      <c r="W15" s="66">
        <f t="shared" si="1"/>
        <v>13807368.791999999</v>
      </c>
      <c r="X15" s="37"/>
    </row>
    <row r="16" spans="1:24" ht="15.75" x14ac:dyDescent="0.25">
      <c r="A16" s="67" t="s">
        <v>10</v>
      </c>
      <c r="B16" s="67"/>
      <c r="C16" s="68"/>
      <c r="D16" s="69"/>
      <c r="E16" s="69"/>
      <c r="F16" s="70"/>
      <c r="G16" s="69"/>
      <c r="H16" s="69"/>
      <c r="I16" s="69"/>
      <c r="J16" s="69"/>
      <c r="K16" s="71"/>
      <c r="L16" s="71"/>
      <c r="M16" s="71"/>
      <c r="N16" s="71"/>
      <c r="O16" s="71"/>
      <c r="P16" s="108"/>
      <c r="Q16" s="71"/>
      <c r="R16" s="71"/>
      <c r="S16" s="71"/>
      <c r="T16" s="71"/>
      <c r="U16" s="71"/>
      <c r="V16" s="71"/>
      <c r="W16" s="71"/>
      <c r="X16" s="37"/>
    </row>
    <row r="17" spans="1:25" ht="15.75" x14ac:dyDescent="0.25">
      <c r="A17" s="72" t="s">
        <v>11</v>
      </c>
      <c r="B17" s="67"/>
      <c r="C17" s="68"/>
      <c r="D17" s="73"/>
      <c r="E17" s="73"/>
      <c r="F17" s="74"/>
      <c r="G17" s="73"/>
      <c r="H17" s="73"/>
      <c r="I17" s="73"/>
      <c r="J17" s="73"/>
      <c r="K17" s="75"/>
      <c r="L17" s="75"/>
      <c r="M17" s="75"/>
      <c r="N17" s="75"/>
      <c r="O17" s="75"/>
      <c r="P17" s="109"/>
      <c r="Q17" s="75"/>
      <c r="R17" s="75"/>
      <c r="S17" s="75"/>
      <c r="T17" s="75"/>
      <c r="U17" s="75"/>
      <c r="V17" s="75"/>
      <c r="W17" s="75"/>
      <c r="X17" s="37"/>
    </row>
    <row r="18" spans="1:25" ht="15" x14ac:dyDescent="0.2">
      <c r="A18" s="37" t="s">
        <v>58</v>
      </c>
      <c r="B18" s="37"/>
      <c r="C18" s="37"/>
      <c r="D18" s="76">
        <v>77657</v>
      </c>
      <c r="E18" s="61">
        <v>76475</v>
      </c>
      <c r="F18" s="61">
        <v>83161</v>
      </c>
      <c r="G18" s="77">
        <v>83969</v>
      </c>
      <c r="H18" s="77">
        <v>83969</v>
      </c>
      <c r="I18" s="77">
        <v>81414</v>
      </c>
      <c r="J18" s="61">
        <v>86488</v>
      </c>
      <c r="K18" s="28">
        <v>86488</v>
      </c>
      <c r="L18" s="28">
        <v>86488</v>
      </c>
      <c r="M18" s="28">
        <v>79235</v>
      </c>
      <c r="N18" s="28">
        <v>89906</v>
      </c>
      <c r="O18" s="28">
        <v>83906</v>
      </c>
      <c r="P18" s="106">
        <v>83906</v>
      </c>
      <c r="Q18" s="28">
        <v>74417.670187737531</v>
      </c>
      <c r="R18" s="28">
        <v>94401</v>
      </c>
      <c r="S18" s="28">
        <f>110342*(R18/(R18+R19))</f>
        <v>83277.197512012222</v>
      </c>
      <c r="T18" s="28">
        <f>(110020.03)*(84000/(84000+27500))</f>
        <v>82885.045022421516</v>
      </c>
      <c r="U18" s="28">
        <f>84000*1.06</f>
        <v>89040</v>
      </c>
      <c r="V18" s="28">
        <f>(91361.03)*(U18/($U$18+$U$19))/10*12</f>
        <v>82593.648645739915</v>
      </c>
      <c r="W18" s="28">
        <f>U18*1.08</f>
        <v>96163.200000000012</v>
      </c>
      <c r="X18" s="37"/>
    </row>
    <row r="19" spans="1:25" ht="15" x14ac:dyDescent="0.2">
      <c r="A19" s="37" t="s">
        <v>60</v>
      </c>
      <c r="B19" s="37"/>
      <c r="C19" s="37"/>
      <c r="D19" s="76">
        <v>25231</v>
      </c>
      <c r="E19" s="61">
        <v>21872</v>
      </c>
      <c r="F19" s="61">
        <v>27019</v>
      </c>
      <c r="G19" s="61">
        <v>24015</v>
      </c>
      <c r="H19" s="61">
        <v>24015</v>
      </c>
      <c r="I19" s="61">
        <v>23285</v>
      </c>
      <c r="J19" s="61">
        <f>+(J18*0.3249)</f>
        <v>28099.951200000003</v>
      </c>
      <c r="K19" s="28">
        <v>26162</v>
      </c>
      <c r="L19" s="28">
        <v>26162</v>
      </c>
      <c r="M19" s="28">
        <v>25752</v>
      </c>
      <c r="N19" s="28">
        <v>27197</v>
      </c>
      <c r="O19" s="28">
        <v>27269</v>
      </c>
      <c r="P19" s="106">
        <v>27269</v>
      </c>
      <c r="Q19" s="28">
        <v>24186.329812262469</v>
      </c>
      <c r="R19" s="28">
        <v>30680</v>
      </c>
      <c r="S19" s="28">
        <f>110342*(R19/(R19+R18))</f>
        <v>27064.802487987785</v>
      </c>
      <c r="T19" s="28">
        <f>(110020.03)*(27500/(84000+27500))</f>
        <v>27134.984977578475</v>
      </c>
      <c r="U19" s="28">
        <f>27500*1.06</f>
        <v>29150</v>
      </c>
      <c r="V19" s="28">
        <f>(91361.03)*(U19/($U$18+$U$19))/10*12</f>
        <v>27039.587354260089</v>
      </c>
      <c r="W19" s="28">
        <f>U19*1.08</f>
        <v>31482.000000000004</v>
      </c>
      <c r="X19" s="37"/>
    </row>
    <row r="20" spans="1:25" ht="15" x14ac:dyDescent="0.2">
      <c r="A20" s="37" t="s">
        <v>12</v>
      </c>
      <c r="B20" s="37"/>
      <c r="C20" s="37"/>
      <c r="D20" s="78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106"/>
      <c r="Q20" s="28"/>
      <c r="R20" s="28"/>
      <c r="S20" s="28"/>
      <c r="T20" s="28">
        <v>8193.25</v>
      </c>
      <c r="U20" s="28"/>
      <c r="V20" s="28"/>
      <c r="W20" s="28"/>
      <c r="X20" s="37"/>
    </row>
    <row r="21" spans="1:25" ht="15" x14ac:dyDescent="0.2">
      <c r="A21" s="37" t="s">
        <v>13</v>
      </c>
      <c r="B21" s="37"/>
      <c r="C21" s="37"/>
      <c r="D21" s="78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106"/>
      <c r="Q21" s="28"/>
      <c r="R21" s="28"/>
      <c r="S21" s="28"/>
      <c r="T21" s="28"/>
      <c r="U21" s="28"/>
      <c r="V21" s="28"/>
      <c r="W21" s="28"/>
      <c r="X21" s="37"/>
    </row>
    <row r="22" spans="1:25" ht="15" x14ac:dyDescent="0.2">
      <c r="A22" s="37" t="s">
        <v>65</v>
      </c>
      <c r="B22" s="37"/>
      <c r="C22" s="37"/>
      <c r="D22" s="76">
        <v>109583</v>
      </c>
      <c r="E22" s="61">
        <v>118802</v>
      </c>
      <c r="F22" s="61">
        <v>131878</v>
      </c>
      <c r="G22" s="61">
        <v>131878</v>
      </c>
      <c r="H22" s="61">
        <v>131878</v>
      </c>
      <c r="I22" s="61">
        <v>131878</v>
      </c>
      <c r="J22" s="61">
        <v>128047</v>
      </c>
      <c r="K22" s="28">
        <v>128047</v>
      </c>
      <c r="L22" s="28">
        <v>128047</v>
      </c>
      <c r="M22" s="28">
        <v>128047</v>
      </c>
      <c r="N22" s="28">
        <v>141202</v>
      </c>
      <c r="O22" s="28">
        <v>141202</v>
      </c>
      <c r="P22" s="106">
        <v>141202</v>
      </c>
      <c r="Q22" s="28">
        <v>141202</v>
      </c>
      <c r="R22" s="28">
        <v>153013</v>
      </c>
      <c r="S22" s="28">
        <v>153013</v>
      </c>
      <c r="T22" s="28">
        <v>158374</v>
      </c>
      <c r="U22" s="28">
        <v>173717</v>
      </c>
      <c r="V22" s="28">
        <f>U22</f>
        <v>173717</v>
      </c>
      <c r="W22" s="28">
        <v>217925</v>
      </c>
      <c r="Y22" s="37" t="s">
        <v>110</v>
      </c>
    </row>
    <row r="23" spans="1:25" ht="15" x14ac:dyDescent="0.2">
      <c r="A23" s="37" t="s">
        <v>47</v>
      </c>
      <c r="B23" s="37"/>
      <c r="C23" s="37"/>
      <c r="D23" s="78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106"/>
      <c r="Q23" s="28"/>
      <c r="R23" s="28"/>
      <c r="S23" s="28"/>
      <c r="T23" s="28"/>
      <c r="U23" s="28"/>
      <c r="V23" s="28"/>
      <c r="W23" s="28"/>
      <c r="X23" s="37"/>
    </row>
    <row r="24" spans="1:25" ht="15" x14ac:dyDescent="0.2">
      <c r="A24" s="37" t="s">
        <v>15</v>
      </c>
      <c r="B24" s="37"/>
      <c r="C24" s="37"/>
      <c r="D24" s="7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106"/>
      <c r="Q24" s="28"/>
      <c r="R24" s="28"/>
      <c r="S24" s="28"/>
      <c r="T24" s="28"/>
      <c r="U24" s="28"/>
      <c r="V24" s="28"/>
      <c r="W24" s="28"/>
      <c r="X24" s="37"/>
    </row>
    <row r="25" spans="1:25" ht="15" x14ac:dyDescent="0.2">
      <c r="A25" s="37" t="s">
        <v>16</v>
      </c>
      <c r="B25" s="37"/>
      <c r="C25" s="37"/>
      <c r="D25" s="78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106"/>
      <c r="Q25" s="28"/>
      <c r="R25" s="28"/>
      <c r="S25" s="28"/>
      <c r="T25" s="28"/>
      <c r="U25" s="28"/>
      <c r="V25" s="28"/>
      <c r="W25" s="28"/>
      <c r="X25" s="37"/>
    </row>
    <row r="26" spans="1:25" ht="15" x14ac:dyDescent="0.2">
      <c r="A26" s="37" t="s">
        <v>19</v>
      </c>
      <c r="B26" s="37"/>
      <c r="C26" s="37"/>
      <c r="D26" s="79">
        <v>570</v>
      </c>
      <c r="E26" s="80">
        <v>2533</v>
      </c>
      <c r="F26" s="80">
        <v>3000</v>
      </c>
      <c r="G26" s="80">
        <v>3000</v>
      </c>
      <c r="H26" s="80">
        <v>3000</v>
      </c>
      <c r="I26" s="80">
        <v>3142</v>
      </c>
      <c r="J26" s="80">
        <v>3000</v>
      </c>
      <c r="K26" s="28">
        <v>3000</v>
      </c>
      <c r="L26" s="28">
        <v>3000</v>
      </c>
      <c r="M26" s="28">
        <v>1574</v>
      </c>
      <c r="N26" s="28">
        <v>3000</v>
      </c>
      <c r="O26" s="28">
        <v>3000</v>
      </c>
      <c r="P26" s="106">
        <v>3000</v>
      </c>
      <c r="Q26" s="28">
        <v>2123</v>
      </c>
      <c r="R26" s="28">
        <v>3000</v>
      </c>
      <c r="S26" s="28">
        <v>5874</v>
      </c>
      <c r="T26" s="28">
        <v>7140.9</v>
      </c>
      <c r="U26" s="28">
        <f>7500*2</f>
        <v>15000</v>
      </c>
      <c r="V26" s="28">
        <f>492.8/10*12</f>
        <v>591.36</v>
      </c>
      <c r="W26" s="28">
        <v>15000</v>
      </c>
      <c r="X26" s="37"/>
    </row>
    <row r="27" spans="1:25" ht="15" x14ac:dyDescent="0.2">
      <c r="A27" s="37" t="s">
        <v>36</v>
      </c>
      <c r="B27" s="37"/>
      <c r="C27" s="37"/>
      <c r="D27" s="76">
        <v>5856</v>
      </c>
      <c r="E27" s="61">
        <v>7772</v>
      </c>
      <c r="F27" s="61">
        <v>8000</v>
      </c>
      <c r="G27" s="61">
        <v>8000</v>
      </c>
      <c r="H27" s="61">
        <v>8000</v>
      </c>
      <c r="I27" s="61">
        <v>4715</v>
      </c>
      <c r="J27" s="61">
        <v>8000</v>
      </c>
      <c r="K27" s="28">
        <v>5000</v>
      </c>
      <c r="L27" s="28">
        <v>5000</v>
      </c>
      <c r="M27" s="28">
        <v>4570</v>
      </c>
      <c r="N27" s="28">
        <v>5000</v>
      </c>
      <c r="O27" s="28">
        <v>5000</v>
      </c>
      <c r="P27" s="106">
        <v>5000</v>
      </c>
      <c r="Q27" s="28">
        <v>5470</v>
      </c>
      <c r="R27" s="28">
        <v>5000</v>
      </c>
      <c r="S27" s="28">
        <v>1299</v>
      </c>
      <c r="T27" s="28">
        <v>481.83</v>
      </c>
      <c r="U27" s="28">
        <v>6000</v>
      </c>
      <c r="V27" s="28">
        <f>460.66/10*12</f>
        <v>552.79200000000003</v>
      </c>
      <c r="W27" s="28">
        <v>4000</v>
      </c>
      <c r="X27" s="37"/>
    </row>
    <row r="28" spans="1:25" ht="15" x14ac:dyDescent="0.2">
      <c r="A28" s="37" t="s">
        <v>66</v>
      </c>
      <c r="B28" s="37"/>
      <c r="C28" s="37"/>
      <c r="D28" s="76"/>
      <c r="E28" s="61"/>
      <c r="F28" s="61">
        <v>3000</v>
      </c>
      <c r="G28" s="61"/>
      <c r="H28" s="61"/>
      <c r="I28" s="61"/>
      <c r="J28" s="61">
        <v>3000</v>
      </c>
      <c r="K28" s="28"/>
      <c r="L28" s="28"/>
      <c r="M28" s="28"/>
      <c r="N28" s="28"/>
      <c r="O28" s="28"/>
      <c r="P28" s="106"/>
      <c r="Q28" s="28"/>
      <c r="R28" s="28"/>
      <c r="S28" s="28"/>
      <c r="T28" s="28"/>
      <c r="U28" s="28">
        <v>3500</v>
      </c>
      <c r="V28" s="28"/>
      <c r="W28" s="28">
        <v>2000</v>
      </c>
      <c r="X28" s="37"/>
    </row>
    <row r="29" spans="1:25" ht="15" x14ac:dyDescent="0.2">
      <c r="A29" s="37" t="s">
        <v>20</v>
      </c>
      <c r="B29" s="37"/>
      <c r="C29" s="37"/>
      <c r="D29" s="78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106"/>
      <c r="Q29" s="28"/>
      <c r="R29" s="28"/>
      <c r="S29" s="28"/>
      <c r="T29" s="28"/>
      <c r="U29" s="28"/>
      <c r="V29" s="28"/>
      <c r="W29" s="28"/>
      <c r="X29" s="37"/>
    </row>
    <row r="30" spans="1:25" ht="15" x14ac:dyDescent="0.2">
      <c r="A30" s="37" t="s">
        <v>37</v>
      </c>
      <c r="B30" s="37"/>
      <c r="C30" s="37"/>
      <c r="D30" s="78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106"/>
      <c r="Q30" s="28"/>
      <c r="R30" s="28"/>
      <c r="S30" s="28"/>
      <c r="T30" s="28"/>
      <c r="U30" s="28"/>
      <c r="V30" s="28"/>
      <c r="W30" s="28"/>
      <c r="X30" s="37"/>
    </row>
    <row r="31" spans="1:25" ht="15" x14ac:dyDescent="0.2">
      <c r="A31" s="37" t="s">
        <v>21</v>
      </c>
      <c r="B31" s="37"/>
      <c r="C31" s="37"/>
      <c r="D31" s="78"/>
      <c r="E31" s="29"/>
      <c r="F31" s="29">
        <v>3000</v>
      </c>
      <c r="G31" s="29"/>
      <c r="H31" s="29"/>
      <c r="I31" s="29"/>
      <c r="J31" s="29">
        <v>3000</v>
      </c>
      <c r="K31" s="28"/>
      <c r="L31" s="28"/>
      <c r="M31" s="28"/>
      <c r="N31" s="28">
        <v>3000</v>
      </c>
      <c r="O31" s="28">
        <v>1000</v>
      </c>
      <c r="P31" s="106">
        <v>1000</v>
      </c>
      <c r="Q31" s="28">
        <v>50</v>
      </c>
      <c r="R31" s="28">
        <v>1000</v>
      </c>
      <c r="S31" s="28">
        <v>364</v>
      </c>
      <c r="T31" s="28"/>
      <c r="U31" s="28">
        <v>1000</v>
      </c>
      <c r="V31" s="28">
        <f>1183.99/10*12</f>
        <v>1420.788</v>
      </c>
      <c r="W31" s="28">
        <v>1500</v>
      </c>
      <c r="X31" s="37"/>
    </row>
    <row r="32" spans="1:25" ht="15" x14ac:dyDescent="0.2">
      <c r="A32" s="37" t="s">
        <v>81</v>
      </c>
      <c r="B32" s="37"/>
      <c r="C32" s="37"/>
      <c r="D32" s="78">
        <v>2127</v>
      </c>
      <c r="E32" s="29">
        <v>499</v>
      </c>
      <c r="F32" s="29">
        <v>1000</v>
      </c>
      <c r="G32" s="29">
        <v>6000</v>
      </c>
      <c r="H32" s="29">
        <v>6000</v>
      </c>
      <c r="I32" s="116">
        <v>775</v>
      </c>
      <c r="J32" s="29">
        <v>2000</v>
      </c>
      <c r="K32" s="28">
        <v>500</v>
      </c>
      <c r="L32" s="28">
        <v>500</v>
      </c>
      <c r="M32" s="28">
        <v>1187</v>
      </c>
      <c r="N32" s="28">
        <v>1000</v>
      </c>
      <c r="O32" s="28">
        <v>1000</v>
      </c>
      <c r="P32" s="106">
        <v>1000</v>
      </c>
      <c r="Q32" s="28">
        <v>1419</v>
      </c>
      <c r="R32" s="28">
        <v>1200</v>
      </c>
      <c r="S32" s="28">
        <v>1881</v>
      </c>
      <c r="T32" s="28"/>
      <c r="U32" s="28">
        <v>12000</v>
      </c>
      <c r="V32" s="28"/>
      <c r="W32" s="28"/>
      <c r="X32" s="37"/>
    </row>
    <row r="33" spans="1:25" ht="15.75" x14ac:dyDescent="0.25">
      <c r="A33" s="26" t="s">
        <v>30</v>
      </c>
      <c r="B33" s="37"/>
      <c r="C33" s="37"/>
      <c r="D33" s="81">
        <f t="shared" ref="D33:G33" si="3">SUM(D18:D32)</f>
        <v>221024</v>
      </c>
      <c r="E33" s="82">
        <f t="shared" ref="E33" si="4">SUM(E18:E32)</f>
        <v>227953</v>
      </c>
      <c r="F33" s="82">
        <f t="shared" si="3"/>
        <v>260058</v>
      </c>
      <c r="G33" s="82">
        <f t="shared" si="3"/>
        <v>256862</v>
      </c>
      <c r="H33" s="82">
        <f t="shared" ref="H33:U33" si="5">SUM(H18:H32)</f>
        <v>256862</v>
      </c>
      <c r="I33" s="82">
        <f t="shared" si="5"/>
        <v>245209</v>
      </c>
      <c r="J33" s="82">
        <f t="shared" si="5"/>
        <v>261634.95120000001</v>
      </c>
      <c r="K33" s="83">
        <f t="shared" si="5"/>
        <v>249197</v>
      </c>
      <c r="L33" s="83">
        <f t="shared" si="5"/>
        <v>249197</v>
      </c>
      <c r="M33" s="83">
        <f t="shared" si="5"/>
        <v>240365</v>
      </c>
      <c r="N33" s="66">
        <f t="shared" si="5"/>
        <v>270305</v>
      </c>
      <c r="O33" s="66">
        <f t="shared" si="5"/>
        <v>262377</v>
      </c>
      <c r="P33" s="107">
        <f t="shared" si="5"/>
        <v>262377</v>
      </c>
      <c r="Q33" s="66">
        <f t="shared" si="5"/>
        <v>248868</v>
      </c>
      <c r="R33" s="66">
        <f t="shared" si="5"/>
        <v>288294</v>
      </c>
      <c r="S33" s="66">
        <f t="shared" si="5"/>
        <v>272773</v>
      </c>
      <c r="T33" s="83">
        <f t="shared" si="5"/>
        <v>284210.01000000007</v>
      </c>
      <c r="U33" s="83">
        <f t="shared" si="5"/>
        <v>329407</v>
      </c>
      <c r="V33" s="83">
        <f t="shared" ref="V33:W33" si="6">SUM(V18:V32)</f>
        <v>285915.17600000004</v>
      </c>
      <c r="W33" s="83">
        <f t="shared" si="6"/>
        <v>368070.2</v>
      </c>
      <c r="X33" s="84">
        <f>S33/(S8+S9)</f>
        <v>0.12479732153314593</v>
      </c>
    </row>
    <row r="34" spans="1:25" ht="15.75" x14ac:dyDescent="0.25">
      <c r="A34" s="37" t="s">
        <v>32</v>
      </c>
      <c r="B34" s="37"/>
      <c r="C34" s="37"/>
      <c r="D34" s="85">
        <v>8940</v>
      </c>
      <c r="E34" s="86">
        <v>9942</v>
      </c>
      <c r="F34" s="86">
        <f>F9*0.015</f>
        <v>11126.189999999999</v>
      </c>
      <c r="G34" s="86">
        <v>11126</v>
      </c>
      <c r="H34" s="86">
        <v>11126</v>
      </c>
      <c r="I34" s="86">
        <v>11331</v>
      </c>
      <c r="J34" s="86">
        <v>10803</v>
      </c>
      <c r="K34" s="83">
        <v>10803</v>
      </c>
      <c r="L34" s="83">
        <v>10803</v>
      </c>
      <c r="M34" s="83">
        <v>10803</v>
      </c>
      <c r="N34" s="66">
        <v>11913</v>
      </c>
      <c r="O34" s="66">
        <v>11913</v>
      </c>
      <c r="P34" s="107">
        <v>11913</v>
      </c>
      <c r="Q34" s="66">
        <v>11913</v>
      </c>
      <c r="R34" s="66">
        <v>12904</v>
      </c>
      <c r="S34" s="66">
        <v>12904</v>
      </c>
      <c r="T34" s="122">
        <v>13363</v>
      </c>
      <c r="U34" s="123">
        <v>14523</v>
      </c>
      <c r="V34" s="122">
        <v>14520</v>
      </c>
      <c r="W34" s="123">
        <v>18699</v>
      </c>
      <c r="Y34" s="37" t="s">
        <v>111</v>
      </c>
    </row>
    <row r="35" spans="1:25" ht="15.75" x14ac:dyDescent="0.25">
      <c r="A35" s="26" t="s">
        <v>31</v>
      </c>
      <c r="B35" s="37"/>
      <c r="C35" s="37"/>
      <c r="D35" s="81">
        <f t="shared" ref="D35:H35" si="7">+D34+D33</f>
        <v>229964</v>
      </c>
      <c r="E35" s="82">
        <f>E34+E33</f>
        <v>237895</v>
      </c>
      <c r="F35" s="82">
        <f t="shared" si="7"/>
        <v>271184.19</v>
      </c>
      <c r="G35" s="82">
        <f t="shared" si="7"/>
        <v>267988</v>
      </c>
      <c r="H35" s="82">
        <f t="shared" si="7"/>
        <v>267988</v>
      </c>
      <c r="I35" s="82">
        <f t="shared" ref="I35:Q35" si="8">SUM(I33:I34)</f>
        <v>256540</v>
      </c>
      <c r="J35" s="82">
        <f t="shared" si="8"/>
        <v>272437.95120000001</v>
      </c>
      <c r="K35" s="83">
        <f t="shared" si="8"/>
        <v>260000</v>
      </c>
      <c r="L35" s="83">
        <f t="shared" si="8"/>
        <v>260000</v>
      </c>
      <c r="M35" s="83">
        <f t="shared" si="8"/>
        <v>251168</v>
      </c>
      <c r="N35" s="66">
        <f t="shared" si="8"/>
        <v>282218</v>
      </c>
      <c r="O35" s="66">
        <f t="shared" si="8"/>
        <v>274290</v>
      </c>
      <c r="P35" s="107">
        <f t="shared" ref="P35" si="9">SUM(P33:P34)</f>
        <v>274290</v>
      </c>
      <c r="Q35" s="66">
        <f t="shared" si="8"/>
        <v>260781</v>
      </c>
      <c r="R35" s="66">
        <f t="shared" ref="R35:U35" si="10">SUM(R33:R34)</f>
        <v>301198</v>
      </c>
      <c r="S35" s="66">
        <f t="shared" si="10"/>
        <v>285677</v>
      </c>
      <c r="T35" s="83">
        <f t="shared" si="10"/>
        <v>297573.01000000007</v>
      </c>
      <c r="U35" s="83">
        <f t="shared" si="10"/>
        <v>343930</v>
      </c>
      <c r="V35" s="83">
        <f t="shared" ref="V35:W35" si="11">SUM(V33:V34)</f>
        <v>300435.17600000004</v>
      </c>
      <c r="W35" s="83">
        <f t="shared" si="11"/>
        <v>386769.2</v>
      </c>
      <c r="X35" s="84">
        <f>S35/(S8+S9)</f>
        <v>0.130701075339658</v>
      </c>
    </row>
    <row r="36" spans="1:25" ht="15.75" x14ac:dyDescent="0.25">
      <c r="A36" s="87" t="s">
        <v>17</v>
      </c>
      <c r="B36" s="54"/>
      <c r="C36" s="55"/>
      <c r="D36" s="88"/>
      <c r="E36" s="89"/>
      <c r="F36" s="89"/>
      <c r="G36" s="89"/>
      <c r="H36" s="89"/>
      <c r="I36" s="89"/>
      <c r="J36" s="90"/>
      <c r="K36" s="91"/>
      <c r="L36" s="91"/>
      <c r="M36" s="91"/>
      <c r="N36" s="90"/>
      <c r="O36" s="90"/>
      <c r="P36" s="106"/>
      <c r="Q36" s="90"/>
      <c r="R36" s="90"/>
      <c r="S36" s="90"/>
      <c r="T36" s="91"/>
      <c r="U36" s="91"/>
      <c r="V36" s="91"/>
      <c r="W36" s="91"/>
      <c r="X36" s="37"/>
    </row>
    <row r="37" spans="1:25" ht="15" x14ac:dyDescent="0.2">
      <c r="A37" s="37" t="s">
        <v>59</v>
      </c>
      <c r="B37" s="37"/>
      <c r="C37" s="37"/>
      <c r="D37" s="92">
        <v>51771</v>
      </c>
      <c r="E37" s="93">
        <v>50984</v>
      </c>
      <c r="F37" s="93">
        <v>55441</v>
      </c>
      <c r="G37" s="93">
        <v>57979</v>
      </c>
      <c r="H37" s="93">
        <v>57979</v>
      </c>
      <c r="I37" s="93">
        <v>54276</v>
      </c>
      <c r="J37" s="93">
        <v>57658</v>
      </c>
      <c r="K37" s="59">
        <v>57658</v>
      </c>
      <c r="L37" s="59">
        <v>57658</v>
      </c>
      <c r="M37" s="59">
        <v>52823</v>
      </c>
      <c r="N37" s="28">
        <v>59964</v>
      </c>
      <c r="O37" s="28">
        <v>55964</v>
      </c>
      <c r="P37" s="106">
        <v>55964</v>
      </c>
      <c r="Q37" s="28">
        <v>49611.70333328571</v>
      </c>
      <c r="R37" s="28">
        <v>62363</v>
      </c>
      <c r="S37" s="28">
        <f>73562*(R37/(R37+R38))</f>
        <v>55518.473768924494</v>
      </c>
      <c r="T37" s="28">
        <f>(73346.67)*(56000/(56000+18200))</f>
        <v>55355.977358490571</v>
      </c>
      <c r="U37" s="28">
        <f>56000*1.06</f>
        <v>59360</v>
      </c>
      <c r="V37" s="28">
        <f>(60907.33)*(U37/($U$37+$U$38))/10*12</f>
        <v>55161.355471698123</v>
      </c>
      <c r="W37" s="28">
        <f>U37*1.08</f>
        <v>64108.800000000003</v>
      </c>
      <c r="X37" s="37"/>
    </row>
    <row r="38" spans="1:25" ht="15" x14ac:dyDescent="0.2">
      <c r="A38" s="37" t="s">
        <v>61</v>
      </c>
      <c r="B38" s="37"/>
      <c r="C38" s="37"/>
      <c r="D38" s="92">
        <v>16820</v>
      </c>
      <c r="E38" s="93">
        <v>14581</v>
      </c>
      <c r="F38" s="93">
        <v>18013</v>
      </c>
      <c r="G38" s="93">
        <v>16010</v>
      </c>
      <c r="H38" s="93">
        <v>16010</v>
      </c>
      <c r="I38" s="93">
        <v>15523</v>
      </c>
      <c r="J38" s="93">
        <f>(J37*0.3249)</f>
        <v>18733.084200000001</v>
      </c>
      <c r="K38" s="59">
        <v>17442</v>
      </c>
      <c r="L38" s="59">
        <v>17442</v>
      </c>
      <c r="M38" s="59">
        <v>17168</v>
      </c>
      <c r="N38" s="28">
        <v>18139</v>
      </c>
      <c r="O38" s="28">
        <v>18188</v>
      </c>
      <c r="P38" s="106">
        <v>18188</v>
      </c>
      <c r="Q38" s="28">
        <v>16124.296666714292</v>
      </c>
      <c r="R38" s="28">
        <v>20268</v>
      </c>
      <c r="S38" s="28">
        <f>73562*(R38/(R38+R37))</f>
        <v>18043.526231075502</v>
      </c>
      <c r="T38" s="28">
        <f>(73346.67)*(18200/(56000+18200))</f>
        <v>17990.692641509435</v>
      </c>
      <c r="U38" s="28">
        <f>18200*1.06</f>
        <v>19292</v>
      </c>
      <c r="V38" s="28">
        <f>(60907.33)*(U38/($U$37+$U$38))/10*12</f>
        <v>17927.440528301886</v>
      </c>
      <c r="W38" s="28">
        <f>U38*1.08</f>
        <v>20835.36</v>
      </c>
      <c r="X38" s="37"/>
    </row>
    <row r="39" spans="1:25" ht="15" x14ac:dyDescent="0.2">
      <c r="A39" s="37" t="s">
        <v>12</v>
      </c>
      <c r="B39" s="37"/>
      <c r="C39" s="37"/>
      <c r="D39" s="94">
        <v>202055</v>
      </c>
      <c r="E39" s="95">
        <v>85232</v>
      </c>
      <c r="F39" s="95">
        <v>260000</v>
      </c>
      <c r="G39" s="95">
        <v>200000</v>
      </c>
      <c r="H39" s="95">
        <v>200000</v>
      </c>
      <c r="I39" s="115">
        <v>169413</v>
      </c>
      <c r="J39" s="95">
        <v>300000</v>
      </c>
      <c r="K39" s="59">
        <v>220000</v>
      </c>
      <c r="L39" s="59">
        <v>220000</v>
      </c>
      <c r="M39" s="59">
        <v>236936</v>
      </c>
      <c r="N39" s="28">
        <v>714000</v>
      </c>
      <c r="O39" s="28">
        <v>300000</v>
      </c>
      <c r="P39" s="106">
        <v>300000</v>
      </c>
      <c r="Q39" s="28">
        <v>314586</v>
      </c>
      <c r="R39" s="28">
        <v>290000</v>
      </c>
      <c r="S39" s="28">
        <v>22590</v>
      </c>
      <c r="T39" s="59">
        <v>39495.5</v>
      </c>
      <c r="U39" s="59">
        <v>300000</v>
      </c>
      <c r="V39" s="28">
        <f>44441.3/10*12</f>
        <v>53329.56</v>
      </c>
      <c r="W39" s="28">
        <v>100000</v>
      </c>
      <c r="X39" s="37"/>
    </row>
    <row r="40" spans="1:25" ht="15" x14ac:dyDescent="0.2">
      <c r="A40" s="37" t="s">
        <v>13</v>
      </c>
      <c r="B40" s="37"/>
      <c r="C40" s="37"/>
      <c r="D40" s="78"/>
      <c r="E40" s="29"/>
      <c r="F40" s="29"/>
      <c r="G40" s="29"/>
      <c r="H40" s="29"/>
      <c r="I40" s="29"/>
      <c r="J40" s="29"/>
      <c r="K40" s="59"/>
      <c r="L40" s="59"/>
      <c r="M40" s="59"/>
      <c r="N40" s="28"/>
      <c r="O40" s="28"/>
      <c r="P40" s="106"/>
      <c r="Q40" s="28"/>
      <c r="R40" s="28"/>
      <c r="S40" s="28"/>
      <c r="T40" s="59"/>
      <c r="U40" s="59"/>
      <c r="V40" s="59"/>
      <c r="W40" s="59"/>
      <c r="X40" s="37"/>
    </row>
    <row r="41" spans="1:25" ht="15" x14ac:dyDescent="0.2">
      <c r="A41" s="37" t="s">
        <v>14</v>
      </c>
      <c r="B41" s="37"/>
      <c r="C41" s="37"/>
      <c r="D41" s="78"/>
      <c r="E41" s="29"/>
      <c r="F41" s="29"/>
      <c r="G41" s="29"/>
      <c r="H41" s="29"/>
      <c r="I41" s="29"/>
      <c r="J41" s="29"/>
      <c r="K41" s="59"/>
      <c r="L41" s="59"/>
      <c r="M41" s="59"/>
      <c r="N41" s="28"/>
      <c r="O41" s="28"/>
      <c r="P41" s="106"/>
      <c r="Q41" s="28"/>
      <c r="R41" s="28"/>
      <c r="S41" s="28"/>
      <c r="T41" s="61">
        <v>6500</v>
      </c>
      <c r="U41" s="61">
        <v>5500</v>
      </c>
      <c r="V41" s="121">
        <v>5500</v>
      </c>
      <c r="W41" s="61">
        <v>5500</v>
      </c>
      <c r="X41" s="37"/>
    </row>
    <row r="42" spans="1:25" ht="15" x14ac:dyDescent="0.2">
      <c r="A42" s="37" t="s">
        <v>15</v>
      </c>
      <c r="B42" s="37"/>
      <c r="C42" s="37"/>
      <c r="D42" s="78"/>
      <c r="E42" s="29"/>
      <c r="F42" s="29"/>
      <c r="G42" s="29"/>
      <c r="H42" s="29"/>
      <c r="I42" s="29"/>
      <c r="J42" s="29"/>
      <c r="K42" s="59"/>
      <c r="L42" s="59"/>
      <c r="M42" s="59"/>
      <c r="N42" s="28"/>
      <c r="O42" s="28"/>
      <c r="P42" s="106"/>
      <c r="Q42" s="28"/>
      <c r="R42" s="28"/>
      <c r="S42" s="28"/>
      <c r="T42" s="59">
        <f>320.48</f>
        <v>320.48</v>
      </c>
      <c r="U42" s="59">
        <v>2000</v>
      </c>
      <c r="V42" s="59">
        <f>231.18/10*12</f>
        <v>277.41600000000005</v>
      </c>
      <c r="W42" s="59">
        <f>750+1500</f>
        <v>2250</v>
      </c>
      <c r="X42" s="37"/>
    </row>
    <row r="43" spans="1:25" ht="15" x14ac:dyDescent="0.2">
      <c r="A43" s="37" t="s">
        <v>33</v>
      </c>
      <c r="B43" s="37"/>
      <c r="C43" s="37"/>
      <c r="D43" s="92">
        <v>1595</v>
      </c>
      <c r="E43" s="93">
        <v>1895</v>
      </c>
      <c r="F43" s="93">
        <v>3000</v>
      </c>
      <c r="G43" s="93">
        <v>3000</v>
      </c>
      <c r="H43" s="93">
        <v>3000</v>
      </c>
      <c r="I43" s="93">
        <v>810</v>
      </c>
      <c r="J43" s="93">
        <v>3000</v>
      </c>
      <c r="K43" s="59">
        <v>3000</v>
      </c>
      <c r="L43" s="59">
        <v>3000</v>
      </c>
      <c r="M43" s="59">
        <v>3558</v>
      </c>
      <c r="N43" s="28">
        <v>3300</v>
      </c>
      <c r="O43" s="28">
        <v>3000</v>
      </c>
      <c r="P43" s="106">
        <v>3000</v>
      </c>
      <c r="Q43" s="28">
        <v>1520</v>
      </c>
      <c r="R43" s="28">
        <v>3000</v>
      </c>
      <c r="S43" s="28">
        <v>1075</v>
      </c>
      <c r="T43" s="59">
        <v>1520</v>
      </c>
      <c r="U43" s="59">
        <v>3000</v>
      </c>
      <c r="V43" s="59">
        <f>1520/10*12</f>
        <v>1824</v>
      </c>
      <c r="W43" s="59">
        <v>2000</v>
      </c>
      <c r="X43" s="37"/>
    </row>
    <row r="44" spans="1:25" ht="15" x14ac:dyDescent="0.2">
      <c r="A44" s="37" t="s">
        <v>34</v>
      </c>
      <c r="B44" s="37"/>
      <c r="C44" s="37"/>
      <c r="D44" s="78"/>
      <c r="E44" s="29"/>
      <c r="F44" s="29"/>
      <c r="G44" s="29"/>
      <c r="H44" s="29"/>
      <c r="I44" s="29"/>
      <c r="J44" s="29"/>
      <c r="K44" s="59"/>
      <c r="L44" s="59"/>
      <c r="M44" s="59"/>
      <c r="N44" s="28"/>
      <c r="O44" s="28"/>
      <c r="P44" s="106"/>
      <c r="Q44" s="28"/>
      <c r="R44" s="28"/>
      <c r="S44" s="28"/>
      <c r="T44" s="59"/>
      <c r="U44" s="59"/>
      <c r="V44" s="59"/>
      <c r="W44" s="59"/>
      <c r="X44" s="37"/>
    </row>
    <row r="45" spans="1:25" ht="15" x14ac:dyDescent="0.2">
      <c r="A45" s="37" t="s">
        <v>18</v>
      </c>
      <c r="B45" s="37"/>
      <c r="C45" s="37"/>
      <c r="D45" s="92"/>
      <c r="E45" s="93">
        <v>1271</v>
      </c>
      <c r="F45" s="93">
        <v>15000</v>
      </c>
      <c r="G45" s="93">
        <v>3000</v>
      </c>
      <c r="H45" s="93">
        <v>3000</v>
      </c>
      <c r="I45" s="93">
        <v>3650</v>
      </c>
      <c r="J45" s="93">
        <v>5000</v>
      </c>
      <c r="K45" s="59">
        <v>5000</v>
      </c>
      <c r="L45" s="59">
        <v>5000</v>
      </c>
      <c r="M45" s="59">
        <v>15118</v>
      </c>
      <c r="N45" s="28">
        <v>50000</v>
      </c>
      <c r="O45" s="28">
        <v>115000</v>
      </c>
      <c r="P45" s="106">
        <v>115000</v>
      </c>
      <c r="Q45" s="28">
        <v>165751</v>
      </c>
      <c r="R45" s="28">
        <v>50000</v>
      </c>
      <c r="S45" s="28">
        <v>17789</v>
      </c>
      <c r="T45" s="59">
        <v>375</v>
      </c>
      <c r="U45" s="59">
        <v>50000</v>
      </c>
      <c r="V45" s="59">
        <f>187.5/10*12</f>
        <v>225</v>
      </c>
      <c r="W45" s="59">
        <v>20000</v>
      </c>
      <c r="X45" s="37"/>
    </row>
    <row r="46" spans="1:25" ht="15" x14ac:dyDescent="0.2">
      <c r="A46" s="37" t="s">
        <v>48</v>
      </c>
      <c r="B46" s="37"/>
      <c r="C46" s="37"/>
      <c r="D46" s="92">
        <v>2500</v>
      </c>
      <c r="E46" s="93">
        <v>2500</v>
      </c>
      <c r="F46" s="93">
        <v>2500</v>
      </c>
      <c r="G46" s="93">
        <v>2500</v>
      </c>
      <c r="H46" s="93">
        <v>2500</v>
      </c>
      <c r="I46" s="93">
        <v>2500</v>
      </c>
      <c r="J46" s="93">
        <v>2500</v>
      </c>
      <c r="K46" s="59">
        <v>2700</v>
      </c>
      <c r="L46" s="59">
        <v>2700</v>
      </c>
      <c r="M46" s="59">
        <v>2653</v>
      </c>
      <c r="N46" s="28">
        <v>2500</v>
      </c>
      <c r="O46" s="28">
        <v>2500</v>
      </c>
      <c r="P46" s="106">
        <v>2500</v>
      </c>
      <c r="Q46" s="28">
        <v>70719</v>
      </c>
      <c r="R46" s="28">
        <v>2500</v>
      </c>
      <c r="S46" s="28">
        <v>2500</v>
      </c>
      <c r="T46" s="59">
        <v>3000</v>
      </c>
      <c r="U46" s="59">
        <v>3000</v>
      </c>
      <c r="V46" s="59">
        <v>3000</v>
      </c>
      <c r="W46" s="59">
        <v>3000</v>
      </c>
      <c r="X46" s="37"/>
    </row>
    <row r="47" spans="1:25" ht="15.75" x14ac:dyDescent="0.25">
      <c r="A47" s="37" t="s">
        <v>39</v>
      </c>
      <c r="B47" s="37"/>
      <c r="C47" s="37"/>
      <c r="D47" s="94">
        <v>119954</v>
      </c>
      <c r="E47" s="115">
        <v>1646</v>
      </c>
      <c r="F47" s="95">
        <v>430000</v>
      </c>
      <c r="G47" s="95">
        <v>204000</v>
      </c>
      <c r="H47" s="95">
        <v>204000</v>
      </c>
      <c r="I47" s="95">
        <v>8765</v>
      </c>
      <c r="J47" s="95">
        <v>520000</v>
      </c>
      <c r="K47" s="59">
        <v>250000</v>
      </c>
      <c r="L47" s="59">
        <v>250000</v>
      </c>
      <c r="M47" s="59">
        <v>676</v>
      </c>
      <c r="N47" s="28">
        <v>850000</v>
      </c>
      <c r="O47" s="28">
        <v>235441</v>
      </c>
      <c r="P47" s="106">
        <v>235441</v>
      </c>
      <c r="Q47" s="28"/>
      <c r="R47" s="28">
        <v>300000</v>
      </c>
      <c r="S47" s="28"/>
      <c r="T47" s="59"/>
      <c r="U47" s="59"/>
      <c r="V47" s="59"/>
      <c r="W47" s="59"/>
      <c r="X47" s="96">
        <v>1</v>
      </c>
    </row>
    <row r="48" spans="1:25" ht="15.75" x14ac:dyDescent="0.25">
      <c r="A48" s="37" t="s">
        <v>22</v>
      </c>
      <c r="B48" s="37"/>
      <c r="C48" s="37"/>
      <c r="D48" s="94">
        <v>807107</v>
      </c>
      <c r="E48" s="95">
        <v>704281</v>
      </c>
      <c r="F48" s="95">
        <v>730614</v>
      </c>
      <c r="G48" s="95">
        <v>499470</v>
      </c>
      <c r="H48" s="95">
        <v>499470</v>
      </c>
      <c r="I48" s="95">
        <v>303394</v>
      </c>
      <c r="J48" s="95">
        <v>2112000</v>
      </c>
      <c r="K48" s="59">
        <v>889000</v>
      </c>
      <c r="L48" s="59">
        <v>889000</v>
      </c>
      <c r="M48" s="59">
        <v>873296</v>
      </c>
      <c r="N48" s="28">
        <v>2224000</v>
      </c>
      <c r="O48" s="28">
        <v>1102000</v>
      </c>
      <c r="P48" s="106">
        <v>1112198</v>
      </c>
      <c r="Q48" s="28">
        <v>910656</v>
      </c>
      <c r="R48" s="28">
        <v>6720000</v>
      </c>
      <c r="S48" s="28">
        <v>106988</v>
      </c>
      <c r="T48" s="59">
        <f>(2575+15156.35)</f>
        <v>17731.349999999999</v>
      </c>
      <c r="U48" s="59">
        <f>8000000+1000000</f>
        <v>9000000</v>
      </c>
      <c r="V48" s="59">
        <f>(10220)/10*12</f>
        <v>12264</v>
      </c>
      <c r="W48" s="59">
        <f>8600000+1200000+10000</f>
        <v>9810000</v>
      </c>
      <c r="X48" s="96">
        <v>2</v>
      </c>
    </row>
    <row r="49" spans="1:24" ht="15.75" x14ac:dyDescent="0.25">
      <c r="A49" s="37" t="s">
        <v>24</v>
      </c>
      <c r="B49" s="37"/>
      <c r="C49" s="37"/>
      <c r="D49" s="97"/>
      <c r="E49" s="33"/>
      <c r="F49" s="33"/>
      <c r="G49" s="33"/>
      <c r="H49" s="33"/>
      <c r="I49" s="33"/>
      <c r="J49" s="33"/>
      <c r="K49" s="59"/>
      <c r="L49" s="59"/>
      <c r="M49" s="59"/>
      <c r="N49" s="28"/>
      <c r="O49" s="28"/>
      <c r="P49" s="106"/>
      <c r="Q49" s="28"/>
      <c r="R49" s="28"/>
      <c r="S49" s="28"/>
      <c r="T49" s="59"/>
      <c r="U49" s="59"/>
      <c r="V49" s="59"/>
      <c r="W49" s="59"/>
      <c r="X49" s="98"/>
    </row>
    <row r="50" spans="1:24" ht="15.75" x14ac:dyDescent="0.25">
      <c r="A50" s="37" t="s">
        <v>38</v>
      </c>
      <c r="B50" s="37"/>
      <c r="C50" s="37"/>
      <c r="D50" s="97">
        <v>5700</v>
      </c>
      <c r="E50" s="33">
        <v>6799</v>
      </c>
      <c r="F50" s="33">
        <v>10000</v>
      </c>
      <c r="G50" s="33">
        <v>15000</v>
      </c>
      <c r="H50" s="33">
        <v>15000</v>
      </c>
      <c r="I50" s="33">
        <v>20401</v>
      </c>
      <c r="J50" s="33">
        <v>10000</v>
      </c>
      <c r="K50" s="59">
        <v>5000</v>
      </c>
      <c r="L50" s="59">
        <v>5000</v>
      </c>
      <c r="M50" s="59">
        <v>3275</v>
      </c>
      <c r="N50" s="28">
        <v>10000</v>
      </c>
      <c r="O50" s="28">
        <v>5000</v>
      </c>
      <c r="P50" s="106">
        <v>5000</v>
      </c>
      <c r="Q50" s="28">
        <v>2979</v>
      </c>
      <c r="R50" s="28">
        <v>10000</v>
      </c>
      <c r="S50" s="28">
        <v>5125</v>
      </c>
      <c r="T50" s="59">
        <v>5820.45</v>
      </c>
      <c r="U50" s="59">
        <v>10000</v>
      </c>
      <c r="V50" s="59">
        <f>4050.95/10*12</f>
        <v>4861.1399999999994</v>
      </c>
      <c r="W50" s="59">
        <v>10000</v>
      </c>
      <c r="X50" s="98"/>
    </row>
    <row r="51" spans="1:24" ht="15.75" x14ac:dyDescent="0.25">
      <c r="A51" s="37" t="s">
        <v>40</v>
      </c>
      <c r="B51" s="37"/>
      <c r="C51" s="37"/>
      <c r="D51" s="97"/>
      <c r="E51" s="33"/>
      <c r="F51" s="33"/>
      <c r="G51" s="33"/>
      <c r="H51" s="33">
        <v>15000</v>
      </c>
      <c r="I51" s="33"/>
      <c r="J51" s="33">
        <v>100000</v>
      </c>
      <c r="K51" s="59">
        <v>10000</v>
      </c>
      <c r="L51" s="59">
        <v>10000</v>
      </c>
      <c r="M51" s="59"/>
      <c r="N51" s="28">
        <v>100000</v>
      </c>
      <c r="O51" s="28">
        <v>100000</v>
      </c>
      <c r="P51" s="106">
        <v>100000</v>
      </c>
      <c r="Q51" s="28"/>
      <c r="R51" s="28">
        <v>250000</v>
      </c>
      <c r="S51" s="28">
        <v>69500</v>
      </c>
      <c r="T51" s="59">
        <v>175226.65</v>
      </c>
      <c r="U51" s="59">
        <v>50000</v>
      </c>
      <c r="V51" s="59">
        <f>54016.94/10*12</f>
        <v>64820.328000000009</v>
      </c>
      <c r="W51" s="59">
        <v>50000</v>
      </c>
      <c r="X51" s="98">
        <v>5</v>
      </c>
    </row>
    <row r="52" spans="1:24" ht="15.75" x14ac:dyDescent="0.25">
      <c r="A52" s="37" t="s">
        <v>70</v>
      </c>
      <c r="B52" s="37"/>
      <c r="C52" s="37"/>
      <c r="D52" s="94"/>
      <c r="E52" s="95">
        <v>9809</v>
      </c>
      <c r="F52" s="95">
        <v>50000</v>
      </c>
      <c r="G52" s="95">
        <v>10000</v>
      </c>
      <c r="H52" s="95">
        <v>10000</v>
      </c>
      <c r="I52" s="95"/>
      <c r="J52" s="95">
        <v>50000</v>
      </c>
      <c r="K52" s="59">
        <v>10000</v>
      </c>
      <c r="L52" s="59">
        <v>10000</v>
      </c>
      <c r="M52" s="59">
        <v>10000</v>
      </c>
      <c r="N52" s="28">
        <v>50000</v>
      </c>
      <c r="O52" s="28">
        <v>10000</v>
      </c>
      <c r="P52" s="106">
        <v>10000</v>
      </c>
      <c r="Q52" s="28"/>
      <c r="R52" s="28">
        <v>30000</v>
      </c>
      <c r="S52" s="28"/>
      <c r="T52" s="59"/>
      <c r="U52" s="59"/>
      <c r="V52" s="59"/>
      <c r="W52" s="59"/>
      <c r="X52" s="96">
        <v>3</v>
      </c>
    </row>
    <row r="53" spans="1:24" ht="15.75" x14ac:dyDescent="0.25">
      <c r="A53" s="37" t="s">
        <v>45</v>
      </c>
      <c r="B53" s="37"/>
      <c r="C53" s="37"/>
      <c r="D53" s="97"/>
      <c r="E53" s="33"/>
      <c r="F53" s="33"/>
      <c r="G53" s="33"/>
      <c r="H53" s="33"/>
      <c r="I53" s="33"/>
      <c r="J53" s="33"/>
      <c r="K53" s="59"/>
      <c r="L53" s="59"/>
      <c r="M53" s="59"/>
      <c r="N53" s="28"/>
      <c r="O53" s="28"/>
      <c r="P53" s="106"/>
      <c r="Q53" s="28"/>
      <c r="R53" s="28"/>
      <c r="S53" s="28"/>
      <c r="T53" s="59"/>
      <c r="U53" s="59"/>
      <c r="V53" s="59"/>
      <c r="W53" s="59"/>
      <c r="X53" s="98"/>
    </row>
    <row r="54" spans="1:24" ht="15.75" x14ac:dyDescent="0.25">
      <c r="A54" s="37" t="s">
        <v>23</v>
      </c>
      <c r="B54" s="37"/>
      <c r="C54" s="37"/>
      <c r="D54" s="94"/>
      <c r="E54" s="95"/>
      <c r="F54" s="95">
        <v>30000</v>
      </c>
      <c r="G54" s="95">
        <v>25000</v>
      </c>
      <c r="H54" s="95">
        <v>25000</v>
      </c>
      <c r="I54" s="95"/>
      <c r="J54" s="95">
        <v>20000</v>
      </c>
      <c r="K54" s="59"/>
      <c r="L54" s="59"/>
      <c r="M54" s="59">
        <v>200</v>
      </c>
      <c r="N54" s="28"/>
      <c r="O54" s="28"/>
      <c r="P54" s="106"/>
      <c r="Q54" s="28"/>
      <c r="R54" s="28">
        <v>10000</v>
      </c>
      <c r="S54" s="28">
        <v>1110</v>
      </c>
      <c r="T54" s="59"/>
      <c r="U54" s="59"/>
      <c r="V54" s="59"/>
      <c r="W54" s="59"/>
      <c r="X54" s="96">
        <v>4</v>
      </c>
    </row>
    <row r="55" spans="1:24" ht="15" x14ac:dyDescent="0.2">
      <c r="A55" s="37" t="s">
        <v>102</v>
      </c>
      <c r="B55" s="37"/>
      <c r="C55" s="37"/>
      <c r="D55" s="92">
        <v>269640</v>
      </c>
      <c r="E55" s="93">
        <v>300000</v>
      </c>
      <c r="F55" s="93">
        <v>280000</v>
      </c>
      <c r="G55" s="93">
        <v>300000</v>
      </c>
      <c r="H55" s="93">
        <v>300000</v>
      </c>
      <c r="I55" s="93">
        <v>300000</v>
      </c>
      <c r="J55" s="93">
        <v>300000</v>
      </c>
      <c r="K55" s="59">
        <v>300000</v>
      </c>
      <c r="L55" s="59">
        <v>300000</v>
      </c>
      <c r="M55" s="59">
        <v>300000</v>
      </c>
      <c r="N55" s="28">
        <v>300000</v>
      </c>
      <c r="O55" s="28">
        <v>300000</v>
      </c>
      <c r="P55" s="106">
        <v>300000</v>
      </c>
      <c r="Q55" s="28">
        <v>300000</v>
      </c>
      <c r="R55" s="28">
        <v>300000</v>
      </c>
      <c r="S55" s="28">
        <v>300000</v>
      </c>
      <c r="T55" s="59">
        <v>350000</v>
      </c>
      <c r="U55" s="59">
        <v>350000</v>
      </c>
      <c r="V55" s="59">
        <f>U55</f>
        <v>350000</v>
      </c>
      <c r="W55" s="59">
        <v>385000</v>
      </c>
      <c r="X55" s="37"/>
    </row>
    <row r="56" spans="1:24" ht="15.75" x14ac:dyDescent="0.25">
      <c r="A56" s="37" t="s">
        <v>103</v>
      </c>
      <c r="B56" s="37"/>
      <c r="C56" s="37"/>
      <c r="D56" s="92"/>
      <c r="E56" s="93"/>
      <c r="F56" s="93"/>
      <c r="G56" s="93"/>
      <c r="H56" s="93"/>
      <c r="I56" s="93"/>
      <c r="J56" s="93"/>
      <c r="K56" s="59"/>
      <c r="L56" s="59"/>
      <c r="M56" s="59"/>
      <c r="N56" s="28"/>
      <c r="O56" s="28"/>
      <c r="P56" s="106"/>
      <c r="Q56" s="28"/>
      <c r="R56" s="28">
        <v>105000</v>
      </c>
      <c r="S56" s="28">
        <v>115071</v>
      </c>
      <c r="T56" s="59"/>
      <c r="U56" s="59"/>
      <c r="V56" s="59"/>
      <c r="W56" s="59"/>
      <c r="X56" s="27">
        <v>6</v>
      </c>
    </row>
    <row r="57" spans="1:24" ht="15" x14ac:dyDescent="0.2">
      <c r="A57" s="37" t="s">
        <v>104</v>
      </c>
      <c r="B57" s="37"/>
      <c r="C57" s="37"/>
      <c r="D57" s="97">
        <v>-485</v>
      </c>
      <c r="E57" s="33"/>
      <c r="F57" s="33">
        <v>20000</v>
      </c>
      <c r="G57" s="33">
        <v>12186</v>
      </c>
      <c r="H57" s="33">
        <v>12186</v>
      </c>
      <c r="I57" s="114"/>
      <c r="J57" s="33">
        <v>15000</v>
      </c>
      <c r="K57" s="59">
        <v>3184</v>
      </c>
      <c r="L57" s="59">
        <v>3184</v>
      </c>
      <c r="M57" s="59"/>
      <c r="N57" s="28">
        <v>10000</v>
      </c>
      <c r="O57" s="28">
        <v>12792</v>
      </c>
      <c r="P57" s="106">
        <v>12792</v>
      </c>
      <c r="Q57" s="28"/>
      <c r="R57" s="28">
        <v>10000</v>
      </c>
      <c r="S57" s="28"/>
      <c r="T57" s="59"/>
      <c r="U57" s="59">
        <v>10000</v>
      </c>
      <c r="V57" s="59"/>
      <c r="W57" s="59">
        <v>5000</v>
      </c>
      <c r="X57" s="37"/>
    </row>
    <row r="58" spans="1:24" ht="15" x14ac:dyDescent="0.2">
      <c r="A58" s="37" t="s">
        <v>105</v>
      </c>
      <c r="B58" s="37"/>
      <c r="C58" s="37"/>
      <c r="D58" s="92"/>
      <c r="E58" s="93"/>
      <c r="F58" s="93">
        <v>500</v>
      </c>
      <c r="G58" s="93"/>
      <c r="H58" s="93"/>
      <c r="I58" s="93"/>
      <c r="J58" s="93">
        <v>500</v>
      </c>
      <c r="K58" s="59">
        <v>1500</v>
      </c>
      <c r="L58" s="59">
        <v>1500</v>
      </c>
      <c r="M58" s="59"/>
      <c r="N58" s="28">
        <v>1500</v>
      </c>
      <c r="O58" s="28">
        <v>400</v>
      </c>
      <c r="P58" s="106">
        <v>400</v>
      </c>
      <c r="Q58" s="28">
        <v>647</v>
      </c>
      <c r="R58" s="28">
        <v>1000</v>
      </c>
      <c r="S58" s="28">
        <v>568</v>
      </c>
      <c r="T58" s="59">
        <f>(45+72.52+602.83)</f>
        <v>720.35</v>
      </c>
      <c r="U58" s="59"/>
      <c r="V58" s="59">
        <f>(135+10.6)/10*12</f>
        <v>174.71999999999997</v>
      </c>
      <c r="W58" s="59">
        <v>100</v>
      </c>
      <c r="X58" s="37"/>
    </row>
    <row r="59" spans="1:24" ht="15.75" x14ac:dyDescent="0.25">
      <c r="A59" s="26" t="s">
        <v>28</v>
      </c>
      <c r="B59" s="37"/>
      <c r="C59" s="37"/>
      <c r="D59" s="99">
        <f t="shared" ref="D59:J59" si="12">SUM(D37:D58)</f>
        <v>1476657</v>
      </c>
      <c r="E59" s="100">
        <f t="shared" si="12"/>
        <v>1178998</v>
      </c>
      <c r="F59" s="100">
        <f t="shared" si="12"/>
        <v>1905068</v>
      </c>
      <c r="G59" s="100">
        <f t="shared" si="12"/>
        <v>1348145</v>
      </c>
      <c r="H59" s="100">
        <f t="shared" si="12"/>
        <v>1363145</v>
      </c>
      <c r="I59" s="100">
        <f t="shared" si="12"/>
        <v>878732</v>
      </c>
      <c r="J59" s="100">
        <f t="shared" si="12"/>
        <v>3514391.0841999999</v>
      </c>
      <c r="K59" s="83">
        <f>SUM(K37:K58)</f>
        <v>1774484</v>
      </c>
      <c r="L59" s="83">
        <f>SUM(L37:L58)</f>
        <v>1774484</v>
      </c>
      <c r="M59" s="83">
        <f>SUM(M37:M58)</f>
        <v>1515703</v>
      </c>
      <c r="N59" s="66">
        <f>SUM(N37:N58)</f>
        <v>4393403</v>
      </c>
      <c r="O59" s="66">
        <f t="shared" ref="O59:S59" si="13">SUM(O37:O58)</f>
        <v>2260285</v>
      </c>
      <c r="P59" s="107">
        <f t="shared" si="13"/>
        <v>2270483</v>
      </c>
      <c r="Q59" s="66">
        <f t="shared" si="13"/>
        <v>1832594</v>
      </c>
      <c r="R59" s="66">
        <f t="shared" si="13"/>
        <v>8164131</v>
      </c>
      <c r="S59" s="66">
        <f t="shared" si="13"/>
        <v>715878</v>
      </c>
      <c r="T59" s="83">
        <f>SUM(T37:T58)</f>
        <v>674056.45</v>
      </c>
      <c r="U59" s="83">
        <f>SUM(U37:U58)</f>
        <v>9862152</v>
      </c>
      <c r="V59" s="83">
        <f>SUM(V37:V58)</f>
        <v>569364.96</v>
      </c>
      <c r="W59" s="83">
        <f>SUM(W37:W58)</f>
        <v>10477794.16</v>
      </c>
      <c r="X59" s="37"/>
    </row>
    <row r="60" spans="1:24" ht="15.75" x14ac:dyDescent="0.25">
      <c r="A60" s="26" t="s">
        <v>29</v>
      </c>
      <c r="B60" s="37"/>
      <c r="C60" s="37"/>
      <c r="D60" s="37"/>
      <c r="E60" s="100"/>
      <c r="F60" s="100">
        <f>+F15-F35-F59</f>
        <v>386033.81000000006</v>
      </c>
      <c r="G60" s="100"/>
      <c r="H60" s="100"/>
      <c r="I60" s="100"/>
      <c r="J60" s="100">
        <v>179587</v>
      </c>
      <c r="K60" s="83">
        <v>179587</v>
      </c>
      <c r="L60" s="59"/>
      <c r="M60" s="59"/>
      <c r="N60" s="66">
        <f>+N15-N35-N59</f>
        <v>1165875</v>
      </c>
      <c r="O60" s="66">
        <v>200000</v>
      </c>
      <c r="P60" s="107"/>
      <c r="Q60" s="66"/>
      <c r="R60" s="66">
        <f>SUM(R15-R35-R59)</f>
        <v>46324</v>
      </c>
      <c r="S60" s="66"/>
      <c r="T60" s="59"/>
      <c r="U60" s="66">
        <f>SUM(U15-U35-U59)</f>
        <v>2297871.8359999992</v>
      </c>
      <c r="V60" s="59"/>
      <c r="W60" s="66">
        <f>SUM(W15-W35-W59)</f>
        <v>2942805.432</v>
      </c>
      <c r="X60" s="37"/>
    </row>
    <row r="61" spans="1:24" ht="15.75" x14ac:dyDescent="0.25">
      <c r="A61" s="62" t="s">
        <v>35</v>
      </c>
      <c r="B61" s="62"/>
      <c r="C61" s="63"/>
      <c r="D61" s="101">
        <f t="shared" ref="D61:M61" si="14">+D35+D59+D60</f>
        <v>1706621</v>
      </c>
      <c r="E61" s="101">
        <f t="shared" si="14"/>
        <v>1416893</v>
      </c>
      <c r="F61" s="101">
        <f t="shared" si="14"/>
        <v>2562286</v>
      </c>
      <c r="G61" s="101">
        <f t="shared" si="14"/>
        <v>1616133</v>
      </c>
      <c r="H61" s="101">
        <f t="shared" si="14"/>
        <v>1631133</v>
      </c>
      <c r="I61" s="101">
        <f t="shared" si="14"/>
        <v>1135272</v>
      </c>
      <c r="J61" s="101">
        <f t="shared" si="14"/>
        <v>3966416.0353999999</v>
      </c>
      <c r="K61" s="101">
        <f t="shared" si="14"/>
        <v>2214071</v>
      </c>
      <c r="L61" s="101">
        <f t="shared" si="14"/>
        <v>2034484</v>
      </c>
      <c r="M61" s="101">
        <f t="shared" si="14"/>
        <v>1766871</v>
      </c>
      <c r="N61" s="66">
        <f>N35+N59+N60</f>
        <v>5841496</v>
      </c>
      <c r="O61" s="66">
        <f t="shared" ref="O61:S61" si="15">O35+O59+O60</f>
        <v>2734575</v>
      </c>
      <c r="P61" s="107">
        <f t="shared" si="15"/>
        <v>2544773</v>
      </c>
      <c r="Q61" s="66">
        <f t="shared" si="15"/>
        <v>2093375</v>
      </c>
      <c r="R61" s="66">
        <f t="shared" si="15"/>
        <v>8511653</v>
      </c>
      <c r="S61" s="66">
        <f t="shared" si="15"/>
        <v>1001555</v>
      </c>
      <c r="T61" s="101">
        <f t="shared" ref="T61:U61" si="16">+T35+T59+T60</f>
        <v>971629.46</v>
      </c>
      <c r="U61" s="101">
        <f t="shared" si="16"/>
        <v>12503953.835999999</v>
      </c>
      <c r="V61" s="101">
        <f t="shared" ref="V61:W61" si="17">+V35+V59+V60</f>
        <v>869800.13599999994</v>
      </c>
      <c r="W61" s="101">
        <f t="shared" si="17"/>
        <v>13807368.791999999</v>
      </c>
      <c r="X61" s="37"/>
    </row>
    <row r="62" spans="1:24" ht="15.75" x14ac:dyDescent="0.25">
      <c r="A62" s="55"/>
      <c r="B62" s="55"/>
      <c r="C62" s="55"/>
      <c r="D62" s="102"/>
      <c r="E62" s="103"/>
      <c r="F62" s="103"/>
      <c r="G62" s="103"/>
      <c r="H62" s="103"/>
      <c r="I62" s="103"/>
      <c r="J62" s="36"/>
      <c r="K62" s="91"/>
      <c r="L62" s="91"/>
      <c r="M62" s="91"/>
      <c r="N62" s="90"/>
      <c r="O62" s="90"/>
      <c r="P62" s="106"/>
      <c r="Q62" s="90"/>
      <c r="R62" s="90"/>
      <c r="S62" s="90"/>
      <c r="T62" s="91"/>
      <c r="U62" s="91"/>
      <c r="V62" s="91"/>
      <c r="W62" s="91"/>
      <c r="X62" s="37"/>
    </row>
    <row r="63" spans="1:24" ht="15.75" x14ac:dyDescent="0.25">
      <c r="A63" s="62" t="s">
        <v>27</v>
      </c>
      <c r="B63" s="62"/>
      <c r="C63" s="63"/>
      <c r="D63" s="100">
        <f>+D15-D35-D59</f>
        <v>1319624</v>
      </c>
      <c r="E63" s="113">
        <f>+E15-E35-E59</f>
        <v>1603693</v>
      </c>
      <c r="F63" s="100"/>
      <c r="G63" s="100">
        <f>G15-G35-G59</f>
        <v>2044327</v>
      </c>
      <c r="H63" s="100">
        <f>H15-H35-H59</f>
        <v>2029327</v>
      </c>
      <c r="I63" s="113">
        <f>I15-I35-I59</f>
        <v>2369999</v>
      </c>
      <c r="J63" s="100"/>
      <c r="K63" s="100">
        <f>K15-K59-K60</f>
        <v>3224896</v>
      </c>
      <c r="L63" s="100">
        <f>L15-L59-L60</f>
        <v>3404483</v>
      </c>
      <c r="M63" s="113">
        <f>M15-M35-M59</f>
        <v>2612348</v>
      </c>
      <c r="N63" s="28"/>
      <c r="O63" s="100">
        <f t="shared" ref="O63:P63" si="18">O15-O59-O60</f>
        <v>3453123</v>
      </c>
      <c r="P63" s="111">
        <f t="shared" si="18"/>
        <v>3642925</v>
      </c>
      <c r="Q63" s="100">
        <f>Q15-Q35-Q59</f>
        <v>2696882</v>
      </c>
      <c r="R63" s="100"/>
      <c r="S63" s="100">
        <f>S15-S35-S59</f>
        <v>4002677</v>
      </c>
      <c r="T63" s="111">
        <f>T15-T35-T59</f>
        <v>6400454.04</v>
      </c>
      <c r="U63" s="100"/>
      <c r="V63" s="111">
        <f>V15-V35-V59</f>
        <v>10684408.791999999</v>
      </c>
      <c r="W63" s="100"/>
      <c r="X63" s="37"/>
    </row>
    <row r="64" spans="1:24" ht="15" x14ac:dyDescent="0.25">
      <c r="A64" s="24"/>
      <c r="B64" s="24"/>
      <c r="C64" s="13"/>
      <c r="D64" s="2"/>
      <c r="E64" s="2"/>
      <c r="F64" s="2"/>
      <c r="G64" s="2"/>
      <c r="H64" s="2"/>
      <c r="I64" s="2"/>
      <c r="J64" s="2"/>
      <c r="K64" s="2"/>
    </row>
    <row r="65" spans="1:1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9" spans="1:11" hidden="1" x14ac:dyDescent="0.2"/>
    <row r="82" hidden="1" x14ac:dyDescent="0.2"/>
  </sheetData>
  <pageMargins left="0.36" right="0.35" top="0.75" bottom="0.25" header="0.5" footer="0.5"/>
  <pageSetup scale="54" orientation="landscape" r:id="rId1"/>
  <headerFooter alignWithMargins="0">
    <oddHeader>&amp;C&amp;"Arial,Bold"&amp;12City of Florida City
Community Redevlopment Agency
FY 2022-23 Proposed Budget
FY 2022-23 begins October 1,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2"/>
  <sheetViews>
    <sheetView tabSelected="1" zoomScaleNormal="100" zoomScaleSheetLayoutView="75" zoomScalePageLayoutView="75" workbookViewId="0">
      <pane xSplit="3" ySplit="7" topLeftCell="D8" activePane="bottomRight" state="frozen"/>
      <selection activeCell="S56" activeCellId="3" sqref="S48 S51 S54 S56"/>
      <selection pane="topRight" activeCell="S56" activeCellId="3" sqref="S48 S51 S54 S56"/>
      <selection pane="bottomLeft" activeCell="S56" activeCellId="3" sqref="S48 S51 S54 S56"/>
      <selection pane="bottomRight" activeCell="W25" sqref="W25"/>
    </sheetView>
  </sheetViews>
  <sheetFormatPr defaultRowHeight="12.75" x14ac:dyDescent="0.2"/>
  <cols>
    <col min="1" max="1" width="19.5703125" customWidth="1"/>
    <col min="2" max="2" width="13.5703125" customWidth="1"/>
    <col min="3" max="3" width="12.7109375" customWidth="1"/>
    <col min="4" max="10" width="11.85546875" hidden="1" customWidth="1"/>
    <col min="11" max="11" width="13.85546875" hidden="1" customWidth="1"/>
    <col min="12" max="13" width="14.140625" hidden="1" customWidth="1"/>
    <col min="14" max="17" width="15.85546875" hidden="1" customWidth="1"/>
    <col min="18" max="18" width="14.85546875" hidden="1" customWidth="1"/>
    <col min="19" max="19" width="14.85546875" customWidth="1"/>
    <col min="20" max="20" width="14.140625" customWidth="1"/>
    <col min="21" max="21" width="14.140625" hidden="1" customWidth="1"/>
    <col min="22" max="25" width="14.140625" customWidth="1"/>
    <col min="26" max="26" width="9.140625" style="125" customWidth="1"/>
    <col min="27" max="29" width="9.140625" customWidth="1"/>
  </cols>
  <sheetData>
    <row r="1" spans="1:26" ht="18" x14ac:dyDescent="0.25">
      <c r="A1" s="25" t="s">
        <v>86</v>
      </c>
      <c r="B1" s="21"/>
      <c r="C1" s="2"/>
      <c r="E1" s="2"/>
      <c r="F1" s="2"/>
      <c r="G1" s="2"/>
      <c r="H1" s="22" t="s">
        <v>42</v>
      </c>
      <c r="I1" s="2"/>
      <c r="J1" s="2"/>
      <c r="K1" s="2"/>
    </row>
    <row r="2" spans="1:26" ht="15" x14ac:dyDescent="0.25">
      <c r="A2" s="21"/>
      <c r="B2" s="21"/>
      <c r="C2" s="2"/>
      <c r="E2" s="2"/>
      <c r="F2" s="2"/>
      <c r="G2" s="2"/>
      <c r="H2" s="22" t="s">
        <v>43</v>
      </c>
      <c r="I2" s="2"/>
      <c r="J2" s="2"/>
      <c r="K2" s="2"/>
    </row>
    <row r="3" spans="1:26" ht="15" x14ac:dyDescent="0.25">
      <c r="A3" s="14"/>
      <c r="B3" s="14"/>
      <c r="C3" s="2"/>
      <c r="E3" s="2"/>
      <c r="F3" s="2"/>
      <c r="G3" s="2"/>
      <c r="H3" s="22" t="s">
        <v>87</v>
      </c>
      <c r="I3" s="2"/>
      <c r="J3" s="2"/>
      <c r="K3" s="2"/>
    </row>
    <row r="4" spans="1:26" ht="14.25" x14ac:dyDescent="0.2">
      <c r="A4" s="2"/>
      <c r="B4" s="2"/>
      <c r="C4" s="2"/>
      <c r="E4" s="2"/>
      <c r="F4" s="2"/>
      <c r="G4" s="2"/>
      <c r="H4" s="23" t="s">
        <v>88</v>
      </c>
      <c r="I4" s="2"/>
      <c r="J4" s="2"/>
      <c r="K4" s="2"/>
    </row>
    <row r="5" spans="1:26" ht="15.75" x14ac:dyDescent="0.25">
      <c r="A5" s="54"/>
      <c r="B5" s="54"/>
      <c r="C5" s="55"/>
      <c r="D5" s="44" t="s">
        <v>71</v>
      </c>
      <c r="E5" s="44" t="s">
        <v>74</v>
      </c>
      <c r="F5" s="44" t="s">
        <v>75</v>
      </c>
      <c r="G5" s="44" t="s">
        <v>75</v>
      </c>
      <c r="H5" s="44" t="s">
        <v>75</v>
      </c>
      <c r="I5" s="44" t="s">
        <v>75</v>
      </c>
      <c r="J5" s="44" t="s">
        <v>78</v>
      </c>
      <c r="K5" s="56" t="s">
        <v>78</v>
      </c>
      <c r="L5" s="44" t="s">
        <v>78</v>
      </c>
      <c r="M5" s="44" t="s">
        <v>78</v>
      </c>
      <c r="N5" s="44" t="s">
        <v>89</v>
      </c>
      <c r="O5" s="44" t="s">
        <v>89</v>
      </c>
      <c r="P5" s="104" t="s">
        <v>89</v>
      </c>
      <c r="Q5" s="44" t="s">
        <v>89</v>
      </c>
      <c r="R5" s="44" t="s">
        <v>101</v>
      </c>
      <c r="S5" s="44" t="s">
        <v>101</v>
      </c>
      <c r="T5" s="44" t="s">
        <v>106</v>
      </c>
      <c r="U5" s="44" t="s">
        <v>108</v>
      </c>
      <c r="V5" s="44" t="s">
        <v>108</v>
      </c>
      <c r="W5" s="44" t="s">
        <v>109</v>
      </c>
      <c r="X5" s="44" t="s">
        <v>109</v>
      </c>
      <c r="Y5" s="44" t="s">
        <v>112</v>
      </c>
      <c r="Z5" s="126"/>
    </row>
    <row r="6" spans="1:26" ht="15.75" x14ac:dyDescent="0.25">
      <c r="A6" s="54"/>
      <c r="B6" s="54"/>
      <c r="C6" s="55"/>
      <c r="D6" s="48" t="s">
        <v>0</v>
      </c>
      <c r="E6" s="48" t="s">
        <v>0</v>
      </c>
      <c r="F6" s="48" t="s">
        <v>0</v>
      </c>
      <c r="G6" s="48" t="s">
        <v>0</v>
      </c>
      <c r="H6" s="48" t="s">
        <v>0</v>
      </c>
      <c r="I6" s="48" t="s">
        <v>0</v>
      </c>
      <c r="J6" s="48" t="s">
        <v>0</v>
      </c>
      <c r="K6" s="57" t="s">
        <v>0</v>
      </c>
      <c r="L6" s="48" t="s">
        <v>0</v>
      </c>
      <c r="M6" s="48" t="s">
        <v>0</v>
      </c>
      <c r="N6" s="48" t="s">
        <v>0</v>
      </c>
      <c r="O6" s="48" t="s">
        <v>0</v>
      </c>
      <c r="P6" s="105" t="s">
        <v>0</v>
      </c>
      <c r="Q6" s="48" t="s">
        <v>0</v>
      </c>
      <c r="R6" s="48" t="s">
        <v>0</v>
      </c>
      <c r="S6" s="48" t="s">
        <v>0</v>
      </c>
      <c r="T6" s="48" t="s">
        <v>0</v>
      </c>
      <c r="U6" s="48" t="s">
        <v>0</v>
      </c>
      <c r="V6" s="48" t="s">
        <v>0</v>
      </c>
      <c r="W6" s="48" t="s">
        <v>0</v>
      </c>
      <c r="X6" s="48" t="s">
        <v>0</v>
      </c>
      <c r="Y6" s="48" t="s">
        <v>0</v>
      </c>
      <c r="Z6" s="126"/>
    </row>
    <row r="7" spans="1:26" ht="15.75" x14ac:dyDescent="0.25">
      <c r="A7" s="54" t="s">
        <v>9</v>
      </c>
      <c r="B7" s="54"/>
      <c r="C7" s="55"/>
      <c r="D7" s="51" t="s">
        <v>1</v>
      </c>
      <c r="E7" s="51" t="s">
        <v>1</v>
      </c>
      <c r="F7" s="51" t="s">
        <v>3</v>
      </c>
      <c r="G7" s="51" t="s">
        <v>73</v>
      </c>
      <c r="H7" s="51" t="s">
        <v>85</v>
      </c>
      <c r="I7" s="51" t="s">
        <v>1</v>
      </c>
      <c r="J7" s="51" t="s">
        <v>3</v>
      </c>
      <c r="K7" s="58" t="s">
        <v>73</v>
      </c>
      <c r="L7" s="51" t="s">
        <v>85</v>
      </c>
      <c r="M7" s="51" t="s">
        <v>1</v>
      </c>
      <c r="N7" s="51" t="s">
        <v>3</v>
      </c>
      <c r="O7" s="51" t="s">
        <v>73</v>
      </c>
      <c r="P7" s="112" t="s">
        <v>85</v>
      </c>
      <c r="Q7" s="51" t="s">
        <v>1</v>
      </c>
      <c r="R7" s="51" t="s">
        <v>96</v>
      </c>
      <c r="S7" s="51" t="s">
        <v>1</v>
      </c>
      <c r="T7" s="51" t="s">
        <v>1</v>
      </c>
      <c r="U7" s="51" t="s">
        <v>3</v>
      </c>
      <c r="V7" s="51" t="s">
        <v>1</v>
      </c>
      <c r="W7" s="51" t="s">
        <v>3</v>
      </c>
      <c r="X7" s="51" t="s">
        <v>85</v>
      </c>
      <c r="Y7" s="51" t="s">
        <v>96</v>
      </c>
      <c r="Z7" s="126"/>
    </row>
    <row r="8" spans="1:26" ht="15" x14ac:dyDescent="0.2">
      <c r="A8" s="37" t="s">
        <v>6</v>
      </c>
      <c r="B8" s="37"/>
      <c r="C8" s="37"/>
      <c r="D8" s="59">
        <v>969326</v>
      </c>
      <c r="E8" s="60">
        <v>1012003</v>
      </c>
      <c r="F8" s="59">
        <v>1142072</v>
      </c>
      <c r="G8" s="59">
        <v>1142072</v>
      </c>
      <c r="H8" s="59">
        <v>1142072</v>
      </c>
      <c r="I8" s="60">
        <v>1142072</v>
      </c>
      <c r="J8" s="60">
        <v>1108901</v>
      </c>
      <c r="K8" s="28">
        <v>1108901</v>
      </c>
      <c r="L8" s="28">
        <v>1108901</v>
      </c>
      <c r="M8" s="28">
        <v>1108901</v>
      </c>
      <c r="N8" s="28">
        <v>1222832</v>
      </c>
      <c r="O8" s="28">
        <v>1222832</v>
      </c>
      <c r="P8" s="106">
        <v>1222832</v>
      </c>
      <c r="Q8" s="28">
        <v>1222832</v>
      </c>
      <c r="R8" s="28">
        <v>1325116</v>
      </c>
      <c r="S8" s="28">
        <v>1325116</v>
      </c>
      <c r="T8" s="28">
        <v>1371650</v>
      </c>
      <c r="U8" s="28">
        <v>1513295</v>
      </c>
      <c r="V8" s="28">
        <v>1513078</v>
      </c>
      <c r="W8" s="28">
        <v>1867733</v>
      </c>
      <c r="X8" s="28">
        <f>W8</f>
        <v>1867733</v>
      </c>
      <c r="Y8" s="28">
        <v>2237862</v>
      </c>
      <c r="Z8" s="126"/>
    </row>
    <row r="9" spans="1:26" ht="15" x14ac:dyDescent="0.2">
      <c r="A9" s="37" t="s">
        <v>7</v>
      </c>
      <c r="B9" s="37"/>
      <c r="C9" s="37"/>
      <c r="D9" s="59">
        <v>596022</v>
      </c>
      <c r="E9" s="59">
        <v>662824</v>
      </c>
      <c r="F9" s="59">
        <v>741746</v>
      </c>
      <c r="G9" s="59">
        <v>741746</v>
      </c>
      <c r="H9" s="59">
        <v>741746</v>
      </c>
      <c r="I9" s="59">
        <v>741746</v>
      </c>
      <c r="J9" s="59">
        <v>720188</v>
      </c>
      <c r="K9" s="28">
        <v>720188</v>
      </c>
      <c r="L9" s="28">
        <v>720188</v>
      </c>
      <c r="M9" s="28">
        <v>720188</v>
      </c>
      <c r="N9" s="28">
        <v>794181</v>
      </c>
      <c r="O9" s="28">
        <v>794181</v>
      </c>
      <c r="P9" s="106">
        <v>794181</v>
      </c>
      <c r="Q9" s="28">
        <v>794181</v>
      </c>
      <c r="R9" s="28">
        <v>860612</v>
      </c>
      <c r="S9" s="28">
        <v>860612</v>
      </c>
      <c r="T9" s="28">
        <v>890834</v>
      </c>
      <c r="U9" s="28">
        <v>968168</v>
      </c>
      <c r="V9" s="28">
        <v>968029</v>
      </c>
      <c r="W9" s="28">
        <v>1245227</v>
      </c>
      <c r="X9" s="28">
        <v>1244951</v>
      </c>
      <c r="Y9" s="28">
        <v>1476181</v>
      </c>
      <c r="Z9" s="126"/>
    </row>
    <row r="10" spans="1:26" ht="15.75" x14ac:dyDescent="0.25">
      <c r="A10" s="37" t="s">
        <v>4</v>
      </c>
      <c r="B10" s="37"/>
      <c r="C10" s="37"/>
      <c r="D10" s="59">
        <v>1450823</v>
      </c>
      <c r="E10" s="59">
        <v>1319621</v>
      </c>
      <c r="F10" s="59">
        <v>673468</v>
      </c>
      <c r="G10" s="59">
        <v>1603642</v>
      </c>
      <c r="H10" s="59">
        <v>1603642</v>
      </c>
      <c r="I10" s="118">
        <f>E63</f>
        <v>1603693</v>
      </c>
      <c r="J10" s="59">
        <v>2029327</v>
      </c>
      <c r="K10" s="28">
        <v>3124878</v>
      </c>
      <c r="L10" s="28">
        <v>3124878</v>
      </c>
      <c r="M10" s="119">
        <f>I63</f>
        <v>2369999</v>
      </c>
      <c r="N10" s="28">
        <v>3404483</v>
      </c>
      <c r="O10" s="28">
        <v>3618395</v>
      </c>
      <c r="P10" s="106">
        <v>3618395</v>
      </c>
      <c r="Q10" s="28">
        <f>M63</f>
        <v>2612348</v>
      </c>
      <c r="R10" s="110">
        <v>3642925</v>
      </c>
      <c r="S10" s="28">
        <f>Q63</f>
        <v>2696882</v>
      </c>
      <c r="T10" s="28">
        <f>S63</f>
        <v>4002677</v>
      </c>
      <c r="U10" s="110">
        <v>5718490.8360000001</v>
      </c>
      <c r="V10" s="28">
        <f>T63</f>
        <v>6400454.04</v>
      </c>
      <c r="W10" s="110">
        <v>10684408.791999999</v>
      </c>
      <c r="X10" s="28">
        <f>V63</f>
        <v>10650741.039999999</v>
      </c>
      <c r="Y10" s="110">
        <f>X63</f>
        <v>9719732.9619999994</v>
      </c>
      <c r="Z10" s="126"/>
    </row>
    <row r="11" spans="1:26" ht="15" x14ac:dyDescent="0.2">
      <c r="A11" s="37" t="s">
        <v>26</v>
      </c>
      <c r="B11" s="37"/>
      <c r="C11" s="37"/>
      <c r="D11" s="61"/>
      <c r="E11" s="61">
        <v>24878</v>
      </c>
      <c r="F11" s="61"/>
      <c r="G11" s="61">
        <v>164000</v>
      </c>
      <c r="H11" s="61">
        <v>164000</v>
      </c>
      <c r="I11" s="61">
        <v>6160</v>
      </c>
      <c r="J11" s="61">
        <v>100000</v>
      </c>
      <c r="K11" s="28">
        <v>210000</v>
      </c>
      <c r="L11" s="28">
        <v>210000</v>
      </c>
      <c r="M11" s="28">
        <v>3421</v>
      </c>
      <c r="N11" s="28">
        <v>400000</v>
      </c>
      <c r="O11" s="28">
        <v>10000</v>
      </c>
      <c r="P11" s="106">
        <v>10000</v>
      </c>
      <c r="Q11" s="28">
        <v>0</v>
      </c>
      <c r="R11" s="28">
        <v>153000</v>
      </c>
      <c r="S11" s="28"/>
      <c r="T11" s="28">
        <v>61510.5</v>
      </c>
      <c r="U11" s="28"/>
      <c r="V11" s="28"/>
      <c r="W11" s="28"/>
      <c r="X11" s="28"/>
      <c r="Y11" s="28"/>
      <c r="Z11" s="126"/>
    </row>
    <row r="12" spans="1:26" ht="15" x14ac:dyDescent="0.2">
      <c r="A12" s="37" t="s">
        <v>95</v>
      </c>
      <c r="B12" s="37"/>
      <c r="C12" s="37"/>
      <c r="D12" s="61"/>
      <c r="E12" s="61"/>
      <c r="F12" s="61"/>
      <c r="G12" s="61"/>
      <c r="H12" s="61"/>
      <c r="I12" s="61"/>
      <c r="J12" s="61"/>
      <c r="K12" s="28"/>
      <c r="L12" s="28"/>
      <c r="M12" s="28">
        <v>161370</v>
      </c>
      <c r="N12" s="28"/>
      <c r="O12" s="28">
        <v>250000</v>
      </c>
      <c r="P12" s="106">
        <v>250000</v>
      </c>
      <c r="Q12" s="28">
        <v>137487</v>
      </c>
      <c r="R12" s="28">
        <v>2512000</v>
      </c>
      <c r="S12" s="28">
        <v>84738</v>
      </c>
      <c r="T12" s="28">
        <v>1036391.5</v>
      </c>
      <c r="U12" s="28">
        <v>4294000</v>
      </c>
      <c r="V12" s="28">
        <v>2633236</v>
      </c>
      <c r="W12" s="28">
        <v>0</v>
      </c>
      <c r="X12" s="28">
        <v>0</v>
      </c>
      <c r="Y12" s="28">
        <v>0</v>
      </c>
      <c r="Z12" s="126"/>
    </row>
    <row r="13" spans="1:26" ht="15" x14ac:dyDescent="0.2">
      <c r="A13" s="37" t="s">
        <v>68</v>
      </c>
      <c r="B13" s="37"/>
      <c r="C13" s="37"/>
      <c r="D13" s="29"/>
      <c r="E13" s="29"/>
      <c r="F13" s="29"/>
      <c r="G13" s="29"/>
      <c r="H13" s="29"/>
      <c r="I13" s="29"/>
      <c r="J13" s="29"/>
      <c r="K13" s="28"/>
      <c r="L13" s="28"/>
      <c r="M13" s="28"/>
      <c r="N13" s="28"/>
      <c r="O13" s="28"/>
      <c r="P13" s="106"/>
      <c r="Q13" s="28"/>
      <c r="R13" s="28"/>
      <c r="S13" s="28"/>
      <c r="T13" s="28"/>
      <c r="U13" s="28"/>
      <c r="V13" s="28"/>
      <c r="W13" s="28"/>
      <c r="X13" s="28"/>
      <c r="Y13" s="28"/>
      <c r="Z13" s="126"/>
    </row>
    <row r="14" spans="1:26" ht="15" x14ac:dyDescent="0.2">
      <c r="A14" s="37" t="s">
        <v>5</v>
      </c>
      <c r="B14" s="37"/>
      <c r="C14" s="37"/>
      <c r="D14" s="61">
        <v>10074</v>
      </c>
      <c r="E14" s="61">
        <v>1260</v>
      </c>
      <c r="F14" s="61">
        <v>5000</v>
      </c>
      <c r="G14" s="61">
        <v>9000</v>
      </c>
      <c r="H14" s="61">
        <v>9000</v>
      </c>
      <c r="I14" s="61">
        <v>11600</v>
      </c>
      <c r="J14" s="61">
        <v>8000</v>
      </c>
      <c r="K14" s="28">
        <v>15000</v>
      </c>
      <c r="L14" s="28">
        <v>15000</v>
      </c>
      <c r="M14" s="28">
        <v>15340</v>
      </c>
      <c r="N14" s="28">
        <v>20000</v>
      </c>
      <c r="O14" s="28">
        <v>18000</v>
      </c>
      <c r="P14" s="106">
        <v>18000</v>
      </c>
      <c r="Q14" s="28">
        <v>23409</v>
      </c>
      <c r="R14" s="28">
        <v>18000</v>
      </c>
      <c r="S14" s="28">
        <v>36884</v>
      </c>
      <c r="T14" s="28">
        <v>9020.5</v>
      </c>
      <c r="U14" s="28">
        <v>10000</v>
      </c>
      <c r="V14" s="28">
        <v>6964</v>
      </c>
      <c r="W14" s="28">
        <v>10000</v>
      </c>
      <c r="X14" s="28">
        <f>41394.27/10*12</f>
        <v>49673.123999999996</v>
      </c>
      <c r="Y14" s="28">
        <v>50000</v>
      </c>
      <c r="Z14" s="126"/>
    </row>
    <row r="15" spans="1:26" ht="15.75" x14ac:dyDescent="0.25">
      <c r="A15" s="62" t="s">
        <v>25</v>
      </c>
      <c r="B15" s="62"/>
      <c r="C15" s="63"/>
      <c r="D15" s="64">
        <f t="shared" ref="D15:T15" si="0">SUM(D8:D14)</f>
        <v>3026245</v>
      </c>
      <c r="E15" s="64">
        <f t="shared" si="0"/>
        <v>3020586</v>
      </c>
      <c r="F15" s="64">
        <f t="shared" si="0"/>
        <v>2562286</v>
      </c>
      <c r="G15" s="65">
        <f t="shared" si="0"/>
        <v>3660460</v>
      </c>
      <c r="H15" s="65">
        <f t="shared" si="0"/>
        <v>3660460</v>
      </c>
      <c r="I15" s="117">
        <f t="shared" si="0"/>
        <v>3505271</v>
      </c>
      <c r="J15" s="64">
        <f t="shared" si="0"/>
        <v>3966416</v>
      </c>
      <c r="K15" s="66">
        <f t="shared" si="0"/>
        <v>5178967</v>
      </c>
      <c r="L15" s="66">
        <f t="shared" si="0"/>
        <v>5178967</v>
      </c>
      <c r="M15" s="120">
        <f>SUM(M8:M14)</f>
        <v>4379219</v>
      </c>
      <c r="N15" s="66">
        <f t="shared" si="0"/>
        <v>5841496</v>
      </c>
      <c r="O15" s="66">
        <f t="shared" si="0"/>
        <v>5913408</v>
      </c>
      <c r="P15" s="107">
        <f t="shared" si="0"/>
        <v>5913408</v>
      </c>
      <c r="Q15" s="66">
        <f t="shared" si="0"/>
        <v>4790257</v>
      </c>
      <c r="R15" s="66">
        <f t="shared" si="0"/>
        <v>8511653</v>
      </c>
      <c r="S15" s="66">
        <f t="shared" si="0"/>
        <v>5004232</v>
      </c>
      <c r="T15" s="66">
        <f t="shared" si="0"/>
        <v>7372083.5</v>
      </c>
      <c r="U15" s="66">
        <f t="shared" ref="U15:W15" si="1">SUM(U8:U14)</f>
        <v>12503953.835999999</v>
      </c>
      <c r="V15" s="66">
        <f t="shared" si="1"/>
        <v>11521761.039999999</v>
      </c>
      <c r="W15" s="66">
        <v>13807368.791999999</v>
      </c>
      <c r="X15" s="66">
        <f t="shared" ref="X15:Y15" si="2">SUM(X8:X14)</f>
        <v>13813098.163999999</v>
      </c>
      <c r="Y15" s="66">
        <f t="shared" si="2"/>
        <v>13483775.961999999</v>
      </c>
      <c r="Z15" s="126"/>
    </row>
    <row r="16" spans="1:26" ht="15.75" x14ac:dyDescent="0.25">
      <c r="A16" s="67" t="s">
        <v>10</v>
      </c>
      <c r="B16" s="67"/>
      <c r="C16" s="68"/>
      <c r="D16" s="69"/>
      <c r="E16" s="69"/>
      <c r="F16" s="70"/>
      <c r="G16" s="69"/>
      <c r="H16" s="69"/>
      <c r="I16" s="69"/>
      <c r="J16" s="69"/>
      <c r="K16" s="71"/>
      <c r="L16" s="71"/>
      <c r="M16" s="71"/>
      <c r="N16" s="71"/>
      <c r="O16" s="71"/>
      <c r="P16" s="108"/>
      <c r="Q16" s="71"/>
      <c r="R16" s="71"/>
      <c r="S16" s="71"/>
      <c r="T16" s="71"/>
      <c r="U16" s="71"/>
      <c r="V16" s="71"/>
      <c r="W16" s="71"/>
      <c r="X16" s="71"/>
      <c r="Y16" s="71"/>
      <c r="Z16" s="126"/>
    </row>
    <row r="17" spans="1:27" ht="15.75" x14ac:dyDescent="0.25">
      <c r="A17" s="72" t="s">
        <v>11</v>
      </c>
      <c r="B17" s="67"/>
      <c r="C17" s="68"/>
      <c r="D17" s="73"/>
      <c r="E17" s="73"/>
      <c r="F17" s="74"/>
      <c r="G17" s="73"/>
      <c r="H17" s="73"/>
      <c r="I17" s="73"/>
      <c r="J17" s="73"/>
      <c r="K17" s="75"/>
      <c r="L17" s="75"/>
      <c r="M17" s="75"/>
      <c r="N17" s="75"/>
      <c r="O17" s="75"/>
      <c r="P17" s="109"/>
      <c r="Q17" s="75"/>
      <c r="R17" s="75"/>
      <c r="S17" s="75"/>
      <c r="T17" s="75"/>
      <c r="U17" s="75"/>
      <c r="V17" s="75"/>
      <c r="W17" s="75"/>
      <c r="X17" s="75"/>
      <c r="Y17" s="75"/>
      <c r="Z17" s="126"/>
    </row>
    <row r="18" spans="1:27" ht="15.75" x14ac:dyDescent="0.25">
      <c r="A18" s="37" t="s">
        <v>58</v>
      </c>
      <c r="B18" s="37"/>
      <c r="C18" s="37"/>
      <c r="D18" s="76">
        <v>77657</v>
      </c>
      <c r="E18" s="61">
        <v>76475</v>
      </c>
      <c r="F18" s="61">
        <v>83161</v>
      </c>
      <c r="G18" s="77">
        <v>83969</v>
      </c>
      <c r="H18" s="77">
        <v>83969</v>
      </c>
      <c r="I18" s="77">
        <v>81414</v>
      </c>
      <c r="J18" s="61">
        <v>86488</v>
      </c>
      <c r="K18" s="28">
        <v>86488</v>
      </c>
      <c r="L18" s="28">
        <v>86488</v>
      </c>
      <c r="M18" s="28">
        <v>79235</v>
      </c>
      <c r="N18" s="28">
        <v>89906</v>
      </c>
      <c r="O18" s="28">
        <v>83906</v>
      </c>
      <c r="P18" s="106">
        <v>83906</v>
      </c>
      <c r="Q18" s="28">
        <v>74417.670187737531</v>
      </c>
      <c r="R18" s="28">
        <v>94401</v>
      </c>
      <c r="S18" s="28">
        <f>110342*(R18/(R18+R19))</f>
        <v>83277.197512012222</v>
      </c>
      <c r="T18" s="28">
        <f>(110020.03)*(84000/(84000+27500))</f>
        <v>82885.045022421516</v>
      </c>
      <c r="U18" s="28">
        <f>84000*1.06</f>
        <v>89040</v>
      </c>
      <c r="V18" s="28">
        <f>(114354)*(U18/($U$18+$U$19))</f>
        <v>86150.098654708519</v>
      </c>
      <c r="W18" s="28">
        <v>96163.200000000012</v>
      </c>
      <c r="X18" s="66">
        <f>(97756.59)*(U18/($U$18+$U$19))/10*12</f>
        <v>88375.464322869957</v>
      </c>
      <c r="Y18" s="28">
        <f>W18*1.03</f>
        <v>99048.09600000002</v>
      </c>
      <c r="Z18" s="126"/>
    </row>
    <row r="19" spans="1:27" ht="15.75" x14ac:dyDescent="0.25">
      <c r="A19" s="37" t="s">
        <v>60</v>
      </c>
      <c r="B19" s="37"/>
      <c r="C19" s="37"/>
      <c r="D19" s="76">
        <v>25231</v>
      </c>
      <c r="E19" s="61">
        <v>21872</v>
      </c>
      <c r="F19" s="61">
        <v>27019</v>
      </c>
      <c r="G19" s="61">
        <v>24015</v>
      </c>
      <c r="H19" s="61">
        <v>24015</v>
      </c>
      <c r="I19" s="61">
        <v>23285</v>
      </c>
      <c r="J19" s="61">
        <f>+(J18*0.3249)</f>
        <v>28099.951200000003</v>
      </c>
      <c r="K19" s="28">
        <v>26162</v>
      </c>
      <c r="L19" s="28">
        <v>26162</v>
      </c>
      <c r="M19" s="28">
        <v>25752</v>
      </c>
      <c r="N19" s="28">
        <v>27197</v>
      </c>
      <c r="O19" s="28">
        <v>27269</v>
      </c>
      <c r="P19" s="106">
        <v>27269</v>
      </c>
      <c r="Q19" s="28">
        <v>24186.329812262469</v>
      </c>
      <c r="R19" s="28">
        <v>30680</v>
      </c>
      <c r="S19" s="28">
        <f>110342*(R19/(R19+R18))</f>
        <v>27064.802487987785</v>
      </c>
      <c r="T19" s="28">
        <f>(110020.03)*(27500/(84000+27500))</f>
        <v>27134.984977578475</v>
      </c>
      <c r="U19" s="28">
        <f>27500*1.06</f>
        <v>29150</v>
      </c>
      <c r="V19" s="28">
        <f>(114354)*(U19/($U$18+$U$19))</f>
        <v>28203.901345291477</v>
      </c>
      <c r="W19" s="28">
        <v>31482.000000000004</v>
      </c>
      <c r="X19" s="66">
        <f>(97756.59)*(U19/($U$18+$U$19))/10*12</f>
        <v>28932.443677130042</v>
      </c>
      <c r="Y19" s="28">
        <f>W19*1.03</f>
        <v>32426.460000000006</v>
      </c>
      <c r="Z19" s="126"/>
    </row>
    <row r="20" spans="1:27" ht="15" x14ac:dyDescent="0.2">
      <c r="A20" s="37" t="s">
        <v>12</v>
      </c>
      <c r="B20" s="37"/>
      <c r="C20" s="37"/>
      <c r="D20" s="78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28"/>
      <c r="P20" s="106"/>
      <c r="Q20" s="28"/>
      <c r="R20" s="28"/>
      <c r="S20" s="28"/>
      <c r="T20" s="28">
        <v>8193.25</v>
      </c>
      <c r="U20" s="28"/>
      <c r="V20" s="28"/>
      <c r="W20" s="28"/>
      <c r="X20" s="28"/>
      <c r="Y20" s="28"/>
      <c r="Z20" s="126"/>
    </row>
    <row r="21" spans="1:27" ht="15" x14ac:dyDescent="0.2">
      <c r="A21" s="37" t="s">
        <v>13</v>
      </c>
      <c r="B21" s="37"/>
      <c r="C21" s="37"/>
      <c r="D21" s="78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28"/>
      <c r="P21" s="106"/>
      <c r="Q21" s="28"/>
      <c r="R21" s="28"/>
      <c r="S21" s="28"/>
      <c r="T21" s="28"/>
      <c r="U21" s="28"/>
      <c r="V21" s="28"/>
      <c r="W21" s="28"/>
      <c r="X21" s="28"/>
      <c r="Y21" s="28"/>
      <c r="Z21" s="126"/>
    </row>
    <row r="22" spans="1:27" ht="15" x14ac:dyDescent="0.2">
      <c r="A22" s="37" t="s">
        <v>65</v>
      </c>
      <c r="B22" s="37"/>
      <c r="C22" s="37"/>
      <c r="D22" s="76">
        <v>109583</v>
      </c>
      <c r="E22" s="61">
        <v>118802</v>
      </c>
      <c r="F22" s="61">
        <v>131878</v>
      </c>
      <c r="G22" s="61">
        <v>131878</v>
      </c>
      <c r="H22" s="61">
        <v>131878</v>
      </c>
      <c r="I22" s="61">
        <v>131878</v>
      </c>
      <c r="J22" s="61">
        <v>128047</v>
      </c>
      <c r="K22" s="28">
        <v>128047</v>
      </c>
      <c r="L22" s="28">
        <v>128047</v>
      </c>
      <c r="M22" s="28">
        <v>128047</v>
      </c>
      <c r="N22" s="28">
        <v>141202</v>
      </c>
      <c r="O22" s="28">
        <v>141202</v>
      </c>
      <c r="P22" s="106">
        <v>141202</v>
      </c>
      <c r="Q22" s="28">
        <v>141202</v>
      </c>
      <c r="R22" s="28">
        <v>153013</v>
      </c>
      <c r="S22" s="28">
        <v>153013</v>
      </c>
      <c r="T22" s="28">
        <v>158374</v>
      </c>
      <c r="U22" s="28">
        <v>173717</v>
      </c>
      <c r="V22" s="28">
        <f>U22</f>
        <v>173717</v>
      </c>
      <c r="W22" s="28">
        <v>217925</v>
      </c>
      <c r="X22" s="106">
        <f>W22</f>
        <v>217925</v>
      </c>
      <c r="Y22" s="28">
        <v>260004</v>
      </c>
      <c r="AA22" s="37" t="s">
        <v>110</v>
      </c>
    </row>
    <row r="23" spans="1:27" ht="15" x14ac:dyDescent="0.2">
      <c r="A23" s="37" t="s">
        <v>47</v>
      </c>
      <c r="B23" s="37"/>
      <c r="C23" s="37"/>
      <c r="D23" s="78"/>
      <c r="E23" s="29"/>
      <c r="F23" s="29"/>
      <c r="G23" s="29"/>
      <c r="H23" s="29"/>
      <c r="I23" s="29"/>
      <c r="J23" s="29"/>
      <c r="K23" s="28"/>
      <c r="L23" s="28"/>
      <c r="M23" s="28"/>
      <c r="N23" s="28"/>
      <c r="O23" s="28"/>
      <c r="P23" s="106"/>
      <c r="Q23" s="28"/>
      <c r="R23" s="28"/>
      <c r="S23" s="28"/>
      <c r="T23" s="28"/>
      <c r="U23" s="28"/>
      <c r="V23" s="28"/>
      <c r="W23" s="28"/>
      <c r="X23" s="28"/>
      <c r="Y23" s="28"/>
      <c r="Z23" s="126"/>
    </row>
    <row r="24" spans="1:27" ht="15" x14ac:dyDescent="0.2">
      <c r="A24" s="37" t="s">
        <v>15</v>
      </c>
      <c r="B24" s="37"/>
      <c r="C24" s="37"/>
      <c r="D24" s="78"/>
      <c r="E24" s="29"/>
      <c r="F24" s="29"/>
      <c r="G24" s="29"/>
      <c r="H24" s="29"/>
      <c r="I24" s="29"/>
      <c r="J24" s="29"/>
      <c r="K24" s="28"/>
      <c r="L24" s="28"/>
      <c r="M24" s="28"/>
      <c r="N24" s="28"/>
      <c r="O24" s="28"/>
      <c r="P24" s="106"/>
      <c r="Q24" s="28"/>
      <c r="R24" s="28"/>
      <c r="S24" s="28"/>
      <c r="T24" s="28"/>
      <c r="U24" s="28"/>
      <c r="V24" s="28"/>
      <c r="W24" s="28"/>
      <c r="X24" s="28"/>
      <c r="Y24" s="28"/>
      <c r="Z24" s="126"/>
    </row>
    <row r="25" spans="1:27" ht="15" x14ac:dyDescent="0.2">
      <c r="A25" s="37" t="s">
        <v>16</v>
      </c>
      <c r="B25" s="37"/>
      <c r="C25" s="37"/>
      <c r="D25" s="78"/>
      <c r="E25" s="29"/>
      <c r="F25" s="29"/>
      <c r="G25" s="29"/>
      <c r="H25" s="29"/>
      <c r="I25" s="29"/>
      <c r="J25" s="29"/>
      <c r="K25" s="28"/>
      <c r="L25" s="28"/>
      <c r="M25" s="28"/>
      <c r="N25" s="28"/>
      <c r="O25" s="28"/>
      <c r="P25" s="106"/>
      <c r="Q25" s="28"/>
      <c r="R25" s="28"/>
      <c r="S25" s="28"/>
      <c r="T25" s="28"/>
      <c r="U25" s="28"/>
      <c r="V25" s="28"/>
      <c r="W25" s="28"/>
      <c r="X25" s="28"/>
      <c r="Y25" s="28"/>
      <c r="Z25" s="126"/>
    </row>
    <row r="26" spans="1:27" ht="15" x14ac:dyDescent="0.2">
      <c r="A26" s="37" t="s">
        <v>19</v>
      </c>
      <c r="B26" s="37"/>
      <c r="C26" s="37"/>
      <c r="D26" s="79">
        <v>570</v>
      </c>
      <c r="E26" s="80">
        <v>2533</v>
      </c>
      <c r="F26" s="80">
        <v>3000</v>
      </c>
      <c r="G26" s="80">
        <v>3000</v>
      </c>
      <c r="H26" s="80">
        <v>3000</v>
      </c>
      <c r="I26" s="80">
        <v>3142</v>
      </c>
      <c r="J26" s="80">
        <v>3000</v>
      </c>
      <c r="K26" s="28">
        <v>3000</v>
      </c>
      <c r="L26" s="28">
        <v>3000</v>
      </c>
      <c r="M26" s="28">
        <v>1574</v>
      </c>
      <c r="N26" s="28">
        <v>3000</v>
      </c>
      <c r="O26" s="28">
        <v>3000</v>
      </c>
      <c r="P26" s="106">
        <v>3000</v>
      </c>
      <c r="Q26" s="28">
        <v>2123</v>
      </c>
      <c r="R26" s="28">
        <v>3000</v>
      </c>
      <c r="S26" s="28">
        <v>5874</v>
      </c>
      <c r="T26" s="28">
        <v>7140.9</v>
      </c>
      <c r="U26" s="28">
        <f>7500*2</f>
        <v>15000</v>
      </c>
      <c r="V26" s="28">
        <v>493</v>
      </c>
      <c r="W26" s="28">
        <v>15000</v>
      </c>
      <c r="X26" s="28">
        <v>0</v>
      </c>
      <c r="Y26" s="28">
        <v>15000</v>
      </c>
      <c r="Z26" s="126"/>
    </row>
    <row r="27" spans="1:27" ht="15.75" x14ac:dyDescent="0.25">
      <c r="A27" s="37" t="s">
        <v>36</v>
      </c>
      <c r="B27" s="37"/>
      <c r="C27" s="37"/>
      <c r="D27" s="76">
        <v>5856</v>
      </c>
      <c r="E27" s="61">
        <v>7772</v>
      </c>
      <c r="F27" s="61">
        <v>8000</v>
      </c>
      <c r="G27" s="61">
        <v>8000</v>
      </c>
      <c r="H27" s="61">
        <v>8000</v>
      </c>
      <c r="I27" s="61">
        <v>4715</v>
      </c>
      <c r="J27" s="61">
        <v>8000</v>
      </c>
      <c r="K27" s="28">
        <v>5000</v>
      </c>
      <c r="L27" s="28">
        <v>5000</v>
      </c>
      <c r="M27" s="28">
        <v>4570</v>
      </c>
      <c r="N27" s="28">
        <v>5000</v>
      </c>
      <c r="O27" s="28">
        <v>5000</v>
      </c>
      <c r="P27" s="106">
        <v>5000</v>
      </c>
      <c r="Q27" s="28">
        <v>5470</v>
      </c>
      <c r="R27" s="28">
        <v>5000</v>
      </c>
      <c r="S27" s="28">
        <v>1299</v>
      </c>
      <c r="T27" s="28">
        <v>481.83</v>
      </c>
      <c r="U27" s="28">
        <v>6000</v>
      </c>
      <c r="V27" s="28">
        <v>667</v>
      </c>
      <c r="W27" s="28">
        <v>4000</v>
      </c>
      <c r="X27" s="66">
        <f>633.67/10*12</f>
        <v>760.404</v>
      </c>
      <c r="Y27" s="28">
        <v>4000</v>
      </c>
      <c r="Z27" s="126"/>
    </row>
    <row r="28" spans="1:27" ht="15" x14ac:dyDescent="0.2">
      <c r="A28" s="37" t="s">
        <v>66</v>
      </c>
      <c r="B28" s="37"/>
      <c r="C28" s="37"/>
      <c r="D28" s="76"/>
      <c r="E28" s="61"/>
      <c r="F28" s="61">
        <v>3000</v>
      </c>
      <c r="G28" s="61"/>
      <c r="H28" s="61"/>
      <c r="I28" s="61"/>
      <c r="J28" s="61">
        <v>3000</v>
      </c>
      <c r="K28" s="28"/>
      <c r="L28" s="28"/>
      <c r="M28" s="28"/>
      <c r="N28" s="28"/>
      <c r="O28" s="28"/>
      <c r="P28" s="106"/>
      <c r="Q28" s="28"/>
      <c r="R28" s="28"/>
      <c r="S28" s="28"/>
      <c r="T28" s="28"/>
      <c r="U28" s="28">
        <v>3500</v>
      </c>
      <c r="V28" s="28"/>
      <c r="W28" s="28">
        <v>2000</v>
      </c>
      <c r="X28" s="28"/>
      <c r="Y28" s="28">
        <v>2000</v>
      </c>
      <c r="Z28" s="126"/>
    </row>
    <row r="29" spans="1:27" ht="15" x14ac:dyDescent="0.2">
      <c r="A29" s="37" t="s">
        <v>20</v>
      </c>
      <c r="B29" s="37"/>
      <c r="C29" s="37"/>
      <c r="D29" s="78"/>
      <c r="E29" s="29"/>
      <c r="F29" s="29"/>
      <c r="G29" s="29"/>
      <c r="H29" s="29"/>
      <c r="I29" s="29"/>
      <c r="J29" s="29"/>
      <c r="K29" s="28"/>
      <c r="L29" s="28"/>
      <c r="M29" s="28"/>
      <c r="N29" s="28"/>
      <c r="O29" s="28"/>
      <c r="P29" s="106"/>
      <c r="Q29" s="28"/>
      <c r="R29" s="28"/>
      <c r="S29" s="28"/>
      <c r="T29" s="28"/>
      <c r="U29" s="28"/>
      <c r="V29" s="28"/>
      <c r="W29" s="28"/>
      <c r="X29" s="28"/>
      <c r="Y29" s="28"/>
      <c r="Z29" s="126"/>
    </row>
    <row r="30" spans="1:27" ht="15" x14ac:dyDescent="0.2">
      <c r="A30" s="37" t="s">
        <v>37</v>
      </c>
      <c r="B30" s="37"/>
      <c r="C30" s="37"/>
      <c r="D30" s="78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106"/>
      <c r="Q30" s="28"/>
      <c r="R30" s="28"/>
      <c r="S30" s="28"/>
      <c r="T30" s="28"/>
      <c r="U30" s="28"/>
      <c r="V30" s="28"/>
      <c r="W30" s="28"/>
      <c r="X30" s="28"/>
      <c r="Y30" s="28"/>
      <c r="Z30" s="126"/>
    </row>
    <row r="31" spans="1:27" ht="15" x14ac:dyDescent="0.2">
      <c r="A31" s="37" t="s">
        <v>21</v>
      </c>
      <c r="B31" s="37"/>
      <c r="C31" s="37"/>
      <c r="D31" s="78"/>
      <c r="E31" s="29"/>
      <c r="F31" s="29">
        <v>3000</v>
      </c>
      <c r="G31" s="29"/>
      <c r="H31" s="29"/>
      <c r="I31" s="29"/>
      <c r="J31" s="29">
        <v>3000</v>
      </c>
      <c r="K31" s="28"/>
      <c r="L31" s="28"/>
      <c r="M31" s="28"/>
      <c r="N31" s="28">
        <v>3000</v>
      </c>
      <c r="O31" s="28">
        <v>1000</v>
      </c>
      <c r="P31" s="106">
        <v>1000</v>
      </c>
      <c r="Q31" s="28">
        <v>50</v>
      </c>
      <c r="R31" s="28">
        <v>1000</v>
      </c>
      <c r="S31" s="28">
        <v>364</v>
      </c>
      <c r="T31" s="28"/>
      <c r="U31" s="28">
        <v>1000</v>
      </c>
      <c r="V31" s="28">
        <v>1184</v>
      </c>
      <c r="W31" s="28">
        <v>1500</v>
      </c>
      <c r="X31" s="28">
        <v>0</v>
      </c>
      <c r="Y31" s="28">
        <v>1500</v>
      </c>
      <c r="Z31" s="126"/>
    </row>
    <row r="32" spans="1:27" ht="15" x14ac:dyDescent="0.2">
      <c r="A32" s="37" t="s">
        <v>81</v>
      </c>
      <c r="B32" s="37"/>
      <c r="C32" s="37"/>
      <c r="D32" s="78">
        <v>2127</v>
      </c>
      <c r="E32" s="29">
        <v>499</v>
      </c>
      <c r="F32" s="29">
        <v>1000</v>
      </c>
      <c r="G32" s="29">
        <v>6000</v>
      </c>
      <c r="H32" s="29">
        <v>6000</v>
      </c>
      <c r="I32" s="116">
        <v>775</v>
      </c>
      <c r="J32" s="29">
        <v>2000</v>
      </c>
      <c r="K32" s="28">
        <v>500</v>
      </c>
      <c r="L32" s="28">
        <v>500</v>
      </c>
      <c r="M32" s="28">
        <v>1187</v>
      </c>
      <c r="N32" s="28">
        <v>1000</v>
      </c>
      <c r="O32" s="28">
        <v>1000</v>
      </c>
      <c r="P32" s="106">
        <v>1000</v>
      </c>
      <c r="Q32" s="28">
        <v>1419</v>
      </c>
      <c r="R32" s="28">
        <v>1200</v>
      </c>
      <c r="S32" s="28">
        <v>1881</v>
      </c>
      <c r="T32" s="28"/>
      <c r="U32" s="28">
        <v>12000</v>
      </c>
      <c r="V32" s="28"/>
      <c r="W32" s="28"/>
      <c r="X32" s="28"/>
      <c r="Y32" s="28"/>
      <c r="Z32" s="126"/>
    </row>
    <row r="33" spans="1:27" ht="15.75" x14ac:dyDescent="0.25">
      <c r="A33" s="26" t="s">
        <v>30</v>
      </c>
      <c r="B33" s="37"/>
      <c r="C33" s="37"/>
      <c r="D33" s="81">
        <f t="shared" ref="D33:G33" si="3">SUM(D18:D32)</f>
        <v>221024</v>
      </c>
      <c r="E33" s="82">
        <f t="shared" ref="E33" si="4">SUM(E18:E32)</f>
        <v>227953</v>
      </c>
      <c r="F33" s="82">
        <f t="shared" si="3"/>
        <v>260058</v>
      </c>
      <c r="G33" s="82">
        <f t="shared" si="3"/>
        <v>256862</v>
      </c>
      <c r="H33" s="82">
        <f t="shared" ref="H33:W33" si="5">SUM(H18:H32)</f>
        <v>256862</v>
      </c>
      <c r="I33" s="82">
        <f t="shared" si="5"/>
        <v>245209</v>
      </c>
      <c r="J33" s="82">
        <f t="shared" si="5"/>
        <v>261634.95120000001</v>
      </c>
      <c r="K33" s="83">
        <f t="shared" si="5"/>
        <v>249197</v>
      </c>
      <c r="L33" s="83">
        <f t="shared" si="5"/>
        <v>249197</v>
      </c>
      <c r="M33" s="83">
        <f t="shared" si="5"/>
        <v>240365</v>
      </c>
      <c r="N33" s="66">
        <f t="shared" si="5"/>
        <v>270305</v>
      </c>
      <c r="O33" s="66">
        <f t="shared" si="5"/>
        <v>262377</v>
      </c>
      <c r="P33" s="107">
        <f t="shared" si="5"/>
        <v>262377</v>
      </c>
      <c r="Q33" s="66">
        <f t="shared" si="5"/>
        <v>248868</v>
      </c>
      <c r="R33" s="66">
        <f t="shared" si="5"/>
        <v>288294</v>
      </c>
      <c r="S33" s="66">
        <f t="shared" si="5"/>
        <v>272773</v>
      </c>
      <c r="T33" s="83">
        <f t="shared" si="5"/>
        <v>284210.01000000007</v>
      </c>
      <c r="U33" s="83">
        <f t="shared" si="5"/>
        <v>329407</v>
      </c>
      <c r="V33" s="83">
        <f t="shared" si="5"/>
        <v>290415</v>
      </c>
      <c r="W33" s="83">
        <v>368070.2</v>
      </c>
      <c r="X33" s="83">
        <f t="shared" ref="X33:Y33" si="6">SUM(X18:X32)</f>
        <v>335993.31199999998</v>
      </c>
      <c r="Y33" s="83">
        <f t="shared" si="6"/>
        <v>413978.55600000004</v>
      </c>
      <c r="Z33" s="84">
        <f>S33/(S8+S9)</f>
        <v>0.12479732153314593</v>
      </c>
    </row>
    <row r="34" spans="1:27" ht="15.75" x14ac:dyDescent="0.25">
      <c r="A34" s="37" t="s">
        <v>32</v>
      </c>
      <c r="B34" s="37"/>
      <c r="C34" s="37"/>
      <c r="D34" s="85">
        <v>8940</v>
      </c>
      <c r="E34" s="86">
        <v>9942</v>
      </c>
      <c r="F34" s="86">
        <f>F9*0.015</f>
        <v>11126.189999999999</v>
      </c>
      <c r="G34" s="86">
        <v>11126</v>
      </c>
      <c r="H34" s="86">
        <v>11126</v>
      </c>
      <c r="I34" s="86">
        <v>11331</v>
      </c>
      <c r="J34" s="86">
        <v>10803</v>
      </c>
      <c r="K34" s="83">
        <v>10803</v>
      </c>
      <c r="L34" s="83">
        <v>10803</v>
      </c>
      <c r="M34" s="83">
        <v>10803</v>
      </c>
      <c r="N34" s="66">
        <v>11913</v>
      </c>
      <c r="O34" s="66">
        <v>11913</v>
      </c>
      <c r="P34" s="107">
        <v>11913</v>
      </c>
      <c r="Q34" s="66">
        <v>11913</v>
      </c>
      <c r="R34" s="66">
        <v>12904</v>
      </c>
      <c r="S34" s="66">
        <v>12904</v>
      </c>
      <c r="T34" s="122">
        <v>13363</v>
      </c>
      <c r="U34" s="123">
        <v>14523</v>
      </c>
      <c r="V34" s="122">
        <v>14520</v>
      </c>
      <c r="W34" s="123">
        <v>18699</v>
      </c>
      <c r="X34" s="122">
        <v>18674.27</v>
      </c>
      <c r="Y34" s="123">
        <f>Y9*0.015</f>
        <v>22142.715</v>
      </c>
      <c r="AA34" s="37" t="s">
        <v>111</v>
      </c>
    </row>
    <row r="35" spans="1:27" ht="15.75" x14ac:dyDescent="0.25">
      <c r="A35" s="26" t="s">
        <v>31</v>
      </c>
      <c r="B35" s="37"/>
      <c r="C35" s="37"/>
      <c r="D35" s="81">
        <f t="shared" ref="D35:H35" si="7">+D34+D33</f>
        <v>229964</v>
      </c>
      <c r="E35" s="82">
        <f>E34+E33</f>
        <v>237895</v>
      </c>
      <c r="F35" s="82">
        <f t="shared" si="7"/>
        <v>271184.19</v>
      </c>
      <c r="G35" s="82">
        <f t="shared" si="7"/>
        <v>267988</v>
      </c>
      <c r="H35" s="82">
        <f t="shared" si="7"/>
        <v>267988</v>
      </c>
      <c r="I35" s="82">
        <f t="shared" ref="I35:Q35" si="8">SUM(I33:I34)</f>
        <v>256540</v>
      </c>
      <c r="J35" s="82">
        <f t="shared" si="8"/>
        <v>272437.95120000001</v>
      </c>
      <c r="K35" s="83">
        <f t="shared" si="8"/>
        <v>260000</v>
      </c>
      <c r="L35" s="83">
        <f t="shared" si="8"/>
        <v>260000</v>
      </c>
      <c r="M35" s="83">
        <f t="shared" si="8"/>
        <v>251168</v>
      </c>
      <c r="N35" s="66">
        <f t="shared" si="8"/>
        <v>282218</v>
      </c>
      <c r="O35" s="66">
        <f t="shared" si="8"/>
        <v>274290</v>
      </c>
      <c r="P35" s="107">
        <f t="shared" ref="P35" si="9">SUM(P33:P34)</f>
        <v>274290</v>
      </c>
      <c r="Q35" s="66">
        <f t="shared" si="8"/>
        <v>260781</v>
      </c>
      <c r="R35" s="66">
        <f t="shared" ref="R35:W35" si="10">SUM(R33:R34)</f>
        <v>301198</v>
      </c>
      <c r="S35" s="66">
        <f t="shared" si="10"/>
        <v>285677</v>
      </c>
      <c r="T35" s="83">
        <f t="shared" si="10"/>
        <v>297573.01000000007</v>
      </c>
      <c r="U35" s="83">
        <f t="shared" si="10"/>
        <v>343930</v>
      </c>
      <c r="V35" s="83">
        <f t="shared" si="10"/>
        <v>304935</v>
      </c>
      <c r="W35" s="83">
        <v>386769.2</v>
      </c>
      <c r="X35" s="83">
        <f t="shared" ref="X35:Y35" si="11">SUM(X33:X34)</f>
        <v>354667.58199999999</v>
      </c>
      <c r="Y35" s="83">
        <f t="shared" si="11"/>
        <v>436121.27100000007</v>
      </c>
      <c r="Z35" s="84">
        <f>S35/(S8+S9)</f>
        <v>0.130701075339658</v>
      </c>
    </row>
    <row r="36" spans="1:27" ht="15.75" x14ac:dyDescent="0.25">
      <c r="A36" s="87" t="s">
        <v>17</v>
      </c>
      <c r="B36" s="54"/>
      <c r="C36" s="55"/>
      <c r="D36" s="88"/>
      <c r="E36" s="89"/>
      <c r="F36" s="89"/>
      <c r="G36" s="89"/>
      <c r="H36" s="89"/>
      <c r="I36" s="89"/>
      <c r="J36" s="90"/>
      <c r="K36" s="91"/>
      <c r="L36" s="91"/>
      <c r="M36" s="91"/>
      <c r="N36" s="90"/>
      <c r="O36" s="90"/>
      <c r="P36" s="106"/>
      <c r="Q36" s="90"/>
      <c r="R36" s="90"/>
      <c r="S36" s="90"/>
      <c r="T36" s="91"/>
      <c r="U36" s="91"/>
      <c r="V36" s="91"/>
      <c r="W36" s="91"/>
      <c r="X36" s="91"/>
      <c r="Y36" s="91"/>
      <c r="Z36" s="126"/>
    </row>
    <row r="37" spans="1:27" ht="15.75" x14ac:dyDescent="0.25">
      <c r="A37" s="37" t="s">
        <v>59</v>
      </c>
      <c r="B37" s="37"/>
      <c r="C37" s="37"/>
      <c r="D37" s="92">
        <v>51771</v>
      </c>
      <c r="E37" s="93">
        <v>50984</v>
      </c>
      <c r="F37" s="93">
        <v>55441</v>
      </c>
      <c r="G37" s="93">
        <v>57979</v>
      </c>
      <c r="H37" s="93">
        <v>57979</v>
      </c>
      <c r="I37" s="93">
        <v>54276</v>
      </c>
      <c r="J37" s="93">
        <v>57658</v>
      </c>
      <c r="K37" s="59">
        <v>57658</v>
      </c>
      <c r="L37" s="59">
        <v>57658</v>
      </c>
      <c r="M37" s="59">
        <v>52823</v>
      </c>
      <c r="N37" s="28">
        <v>59964</v>
      </c>
      <c r="O37" s="28">
        <v>55964</v>
      </c>
      <c r="P37" s="106">
        <v>55964</v>
      </c>
      <c r="Q37" s="28">
        <v>49611.70333328571</v>
      </c>
      <c r="R37" s="28">
        <v>62363</v>
      </c>
      <c r="S37" s="28">
        <f>73562*(R37/(R37+R38))</f>
        <v>55518.473768924494</v>
      </c>
      <c r="T37" s="28">
        <f>(73346.67)*(56000/(56000+18200))</f>
        <v>55355.977358490571</v>
      </c>
      <c r="U37" s="28">
        <f>56000*1.06</f>
        <v>59360</v>
      </c>
      <c r="V37" s="28">
        <f>(76236)*(U37/($U$37+$U$38))</f>
        <v>57536.60377358491</v>
      </c>
      <c r="W37" s="28">
        <v>64108.800000000003</v>
      </c>
      <c r="X37" s="66">
        <f>(65171.08)*(U37/($U$37+$U$38))/10*12</f>
        <v>59022.864905660383</v>
      </c>
      <c r="Y37" s="28">
        <f>W37*1.03</f>
        <v>66032.063999999998</v>
      </c>
      <c r="Z37" s="126"/>
    </row>
    <row r="38" spans="1:27" ht="15.75" x14ac:dyDescent="0.25">
      <c r="A38" s="37" t="s">
        <v>61</v>
      </c>
      <c r="B38" s="37"/>
      <c r="C38" s="37"/>
      <c r="D38" s="92">
        <v>16820</v>
      </c>
      <c r="E38" s="93">
        <v>14581</v>
      </c>
      <c r="F38" s="93">
        <v>18013</v>
      </c>
      <c r="G38" s="93">
        <v>16010</v>
      </c>
      <c r="H38" s="93">
        <v>16010</v>
      </c>
      <c r="I38" s="93">
        <v>15523</v>
      </c>
      <c r="J38" s="93">
        <f>(J37*0.3249)</f>
        <v>18733.084200000001</v>
      </c>
      <c r="K38" s="59">
        <v>17442</v>
      </c>
      <c r="L38" s="59">
        <v>17442</v>
      </c>
      <c r="M38" s="59">
        <v>17168</v>
      </c>
      <c r="N38" s="28">
        <v>18139</v>
      </c>
      <c r="O38" s="28">
        <v>18188</v>
      </c>
      <c r="P38" s="106">
        <v>18188</v>
      </c>
      <c r="Q38" s="28">
        <v>16124.296666714292</v>
      </c>
      <c r="R38" s="28">
        <v>20268</v>
      </c>
      <c r="S38" s="28">
        <f>73562*(R38/(R38+R37))</f>
        <v>18043.526231075502</v>
      </c>
      <c r="T38" s="28">
        <f>(73346.67)*(18200/(56000+18200))</f>
        <v>17990.692641509435</v>
      </c>
      <c r="U38" s="28">
        <f>18200*1.06</f>
        <v>19292</v>
      </c>
      <c r="V38" s="28">
        <f>(76236)*(U38/($U$37+$U$38))</f>
        <v>18699.396226415094</v>
      </c>
      <c r="W38" s="28">
        <v>20835.36</v>
      </c>
      <c r="X38" s="66">
        <f>(65171.08)*(U38/($U$37+$U$38))/10*12</f>
        <v>19182.431094339627</v>
      </c>
      <c r="Y38" s="28">
        <f>W38*1.03</f>
        <v>21460.4208</v>
      </c>
      <c r="Z38" s="126"/>
    </row>
    <row r="39" spans="1:27" ht="15.75" x14ac:dyDescent="0.25">
      <c r="A39" s="37" t="s">
        <v>12</v>
      </c>
      <c r="B39" s="37"/>
      <c r="C39" s="37"/>
      <c r="D39" s="94">
        <v>202055</v>
      </c>
      <c r="E39" s="95">
        <v>85232</v>
      </c>
      <c r="F39" s="95">
        <v>260000</v>
      </c>
      <c r="G39" s="95">
        <v>200000</v>
      </c>
      <c r="H39" s="95">
        <v>200000</v>
      </c>
      <c r="I39" s="115">
        <v>169413</v>
      </c>
      <c r="J39" s="95">
        <v>300000</v>
      </c>
      <c r="K39" s="59">
        <v>220000</v>
      </c>
      <c r="L39" s="59">
        <v>220000</v>
      </c>
      <c r="M39" s="59">
        <v>236936</v>
      </c>
      <c r="N39" s="28">
        <v>714000</v>
      </c>
      <c r="O39" s="28">
        <v>300000</v>
      </c>
      <c r="P39" s="106">
        <v>300000</v>
      </c>
      <c r="Q39" s="28">
        <v>314586</v>
      </c>
      <c r="R39" s="28">
        <v>290000</v>
      </c>
      <c r="S39" s="28">
        <v>22590</v>
      </c>
      <c r="T39" s="59">
        <v>39495.5</v>
      </c>
      <c r="U39" s="59">
        <v>300000</v>
      </c>
      <c r="V39" s="28">
        <v>59805</v>
      </c>
      <c r="W39" s="28">
        <v>100000</v>
      </c>
      <c r="X39" s="66">
        <f>(82831.8+1285.5)/10*12</f>
        <v>100940.76</v>
      </c>
      <c r="Y39" s="28">
        <v>200000</v>
      </c>
      <c r="Z39" s="27">
        <v>1</v>
      </c>
    </row>
    <row r="40" spans="1:27" ht="15" x14ac:dyDescent="0.2">
      <c r="A40" s="37" t="s">
        <v>13</v>
      </c>
      <c r="B40" s="37"/>
      <c r="C40" s="37"/>
      <c r="D40" s="78"/>
      <c r="E40" s="29"/>
      <c r="F40" s="29"/>
      <c r="G40" s="29"/>
      <c r="H40" s="29"/>
      <c r="I40" s="29"/>
      <c r="J40" s="29"/>
      <c r="K40" s="59"/>
      <c r="L40" s="59"/>
      <c r="M40" s="59"/>
      <c r="N40" s="28"/>
      <c r="O40" s="28"/>
      <c r="P40" s="106"/>
      <c r="Q40" s="28"/>
      <c r="R40" s="28"/>
      <c r="S40" s="28"/>
      <c r="T40" s="59"/>
      <c r="U40" s="59"/>
      <c r="V40" s="59"/>
      <c r="W40" s="59"/>
      <c r="X40" s="59"/>
      <c r="Y40" s="59"/>
      <c r="Z40" s="126"/>
    </row>
    <row r="41" spans="1:27" ht="15" x14ac:dyDescent="0.2">
      <c r="A41" s="37" t="s">
        <v>14</v>
      </c>
      <c r="B41" s="37"/>
      <c r="C41" s="37"/>
      <c r="D41" s="78"/>
      <c r="E41" s="29"/>
      <c r="F41" s="29"/>
      <c r="G41" s="29"/>
      <c r="H41" s="29"/>
      <c r="I41" s="29"/>
      <c r="J41" s="29"/>
      <c r="K41" s="59"/>
      <c r="L41" s="59"/>
      <c r="M41" s="59"/>
      <c r="N41" s="28"/>
      <c r="O41" s="28"/>
      <c r="P41" s="106"/>
      <c r="Q41" s="28"/>
      <c r="R41" s="28"/>
      <c r="S41" s="28"/>
      <c r="T41" s="61">
        <v>6500</v>
      </c>
      <c r="U41" s="61">
        <v>5500</v>
      </c>
      <c r="V41" s="121">
        <v>5500</v>
      </c>
      <c r="W41" s="61">
        <v>5500</v>
      </c>
      <c r="X41" s="121">
        <v>5500</v>
      </c>
      <c r="Y41" s="61">
        <v>7000</v>
      </c>
      <c r="Z41" s="126"/>
    </row>
    <row r="42" spans="1:27" ht="15.75" x14ac:dyDescent="0.25">
      <c r="A42" s="37" t="s">
        <v>15</v>
      </c>
      <c r="B42" s="37"/>
      <c r="C42" s="37"/>
      <c r="D42" s="78"/>
      <c r="E42" s="29"/>
      <c r="F42" s="29"/>
      <c r="G42" s="29"/>
      <c r="H42" s="29"/>
      <c r="I42" s="29"/>
      <c r="J42" s="29"/>
      <c r="K42" s="59"/>
      <c r="L42" s="59"/>
      <c r="M42" s="59"/>
      <c r="N42" s="28"/>
      <c r="O42" s="28"/>
      <c r="P42" s="106"/>
      <c r="Q42" s="28"/>
      <c r="R42" s="28"/>
      <c r="S42" s="28"/>
      <c r="T42" s="59">
        <f>320.48</f>
        <v>320.48</v>
      </c>
      <c r="U42" s="59">
        <v>2000</v>
      </c>
      <c r="V42" s="59">
        <v>231</v>
      </c>
      <c r="W42" s="59">
        <v>2250</v>
      </c>
      <c r="X42" s="83">
        <f>475.7/10*12</f>
        <v>570.84</v>
      </c>
      <c r="Y42" s="59">
        <f>750+1500</f>
        <v>2250</v>
      </c>
      <c r="Z42" s="126"/>
    </row>
    <row r="43" spans="1:27" ht="15.75" x14ac:dyDescent="0.25">
      <c r="A43" s="37" t="s">
        <v>33</v>
      </c>
      <c r="B43" s="37"/>
      <c r="C43" s="37"/>
      <c r="D43" s="92">
        <v>1595</v>
      </c>
      <c r="E43" s="93">
        <v>1895</v>
      </c>
      <c r="F43" s="93">
        <v>3000</v>
      </c>
      <c r="G43" s="93">
        <v>3000</v>
      </c>
      <c r="H43" s="93">
        <v>3000</v>
      </c>
      <c r="I43" s="93">
        <v>810</v>
      </c>
      <c r="J43" s="93">
        <v>3000</v>
      </c>
      <c r="K43" s="59">
        <v>3000</v>
      </c>
      <c r="L43" s="59">
        <v>3000</v>
      </c>
      <c r="M43" s="59">
        <v>3558</v>
      </c>
      <c r="N43" s="28">
        <v>3300</v>
      </c>
      <c r="O43" s="28">
        <v>3000</v>
      </c>
      <c r="P43" s="106">
        <v>3000</v>
      </c>
      <c r="Q43" s="28">
        <v>1520</v>
      </c>
      <c r="R43" s="28">
        <v>3000</v>
      </c>
      <c r="S43" s="28">
        <v>1075</v>
      </c>
      <c r="T43" s="59">
        <v>1520</v>
      </c>
      <c r="U43" s="59">
        <v>3000</v>
      </c>
      <c r="V43" s="59">
        <v>1520</v>
      </c>
      <c r="W43" s="59">
        <v>2000</v>
      </c>
      <c r="X43" s="83">
        <f>1712.7/10*12</f>
        <v>2055.2400000000002</v>
      </c>
      <c r="Y43" s="59">
        <v>2000</v>
      </c>
      <c r="Z43" s="126"/>
    </row>
    <row r="44" spans="1:27" ht="15" x14ac:dyDescent="0.2">
      <c r="A44" s="37" t="s">
        <v>34</v>
      </c>
      <c r="B44" s="37"/>
      <c r="C44" s="37"/>
      <c r="D44" s="78"/>
      <c r="E44" s="29"/>
      <c r="F44" s="29"/>
      <c r="G44" s="29"/>
      <c r="H44" s="29"/>
      <c r="I44" s="29"/>
      <c r="J44" s="29"/>
      <c r="K44" s="59"/>
      <c r="L44" s="59"/>
      <c r="M44" s="59"/>
      <c r="N44" s="28"/>
      <c r="O44" s="28"/>
      <c r="P44" s="106"/>
      <c r="Q44" s="28"/>
      <c r="R44" s="28"/>
      <c r="S44" s="28"/>
      <c r="T44" s="59"/>
      <c r="U44" s="59"/>
      <c r="V44" s="59"/>
      <c r="W44" s="59"/>
      <c r="X44" s="59"/>
      <c r="Y44" s="59"/>
      <c r="Z44" s="126"/>
    </row>
    <row r="45" spans="1:27" ht="15" x14ac:dyDescent="0.2">
      <c r="A45" s="37" t="s">
        <v>18</v>
      </c>
      <c r="B45" s="37"/>
      <c r="C45" s="37"/>
      <c r="D45" s="92"/>
      <c r="E45" s="93">
        <v>1271</v>
      </c>
      <c r="F45" s="93">
        <v>15000</v>
      </c>
      <c r="G45" s="93">
        <v>3000</v>
      </c>
      <c r="H45" s="93">
        <v>3000</v>
      </c>
      <c r="I45" s="93">
        <v>3650</v>
      </c>
      <c r="J45" s="93">
        <v>5000</v>
      </c>
      <c r="K45" s="59">
        <v>5000</v>
      </c>
      <c r="L45" s="59">
        <v>5000</v>
      </c>
      <c r="M45" s="59">
        <v>15118</v>
      </c>
      <c r="N45" s="28">
        <v>50000</v>
      </c>
      <c r="O45" s="28">
        <v>115000</v>
      </c>
      <c r="P45" s="106">
        <v>115000</v>
      </c>
      <c r="Q45" s="28">
        <v>165751</v>
      </c>
      <c r="R45" s="28">
        <v>50000</v>
      </c>
      <c r="S45" s="28">
        <v>17789</v>
      </c>
      <c r="T45" s="59">
        <v>375</v>
      </c>
      <c r="U45" s="59">
        <v>50000</v>
      </c>
      <c r="V45" s="59">
        <v>188</v>
      </c>
      <c r="W45" s="59">
        <v>20000</v>
      </c>
      <c r="X45" s="59">
        <v>0</v>
      </c>
      <c r="Y45" s="59">
        <v>20000</v>
      </c>
      <c r="Z45" s="126"/>
    </row>
    <row r="46" spans="1:27" ht="15" x14ac:dyDescent="0.2">
      <c r="A46" s="37" t="s">
        <v>48</v>
      </c>
      <c r="B46" s="37"/>
      <c r="C46" s="37"/>
      <c r="D46" s="92">
        <v>2500</v>
      </c>
      <c r="E46" s="93">
        <v>2500</v>
      </c>
      <c r="F46" s="93">
        <v>2500</v>
      </c>
      <c r="G46" s="93">
        <v>2500</v>
      </c>
      <c r="H46" s="93">
        <v>2500</v>
      </c>
      <c r="I46" s="93">
        <v>2500</v>
      </c>
      <c r="J46" s="93">
        <v>2500</v>
      </c>
      <c r="K46" s="59">
        <v>2700</v>
      </c>
      <c r="L46" s="59">
        <v>2700</v>
      </c>
      <c r="M46" s="59">
        <v>2653</v>
      </c>
      <c r="N46" s="28">
        <v>2500</v>
      </c>
      <c r="O46" s="28">
        <v>2500</v>
      </c>
      <c r="P46" s="106">
        <v>2500</v>
      </c>
      <c r="Q46" s="28">
        <v>70719</v>
      </c>
      <c r="R46" s="28">
        <v>2500</v>
      </c>
      <c r="S46" s="28">
        <v>2500</v>
      </c>
      <c r="T46" s="59">
        <v>3000</v>
      </c>
      <c r="U46" s="59">
        <v>3000</v>
      </c>
      <c r="V46" s="59">
        <v>3000</v>
      </c>
      <c r="W46" s="59">
        <v>3000</v>
      </c>
      <c r="X46" s="121">
        <v>3000</v>
      </c>
      <c r="Y46" s="59">
        <v>3000</v>
      </c>
      <c r="Z46" s="126"/>
    </row>
    <row r="47" spans="1:27" ht="15.75" x14ac:dyDescent="0.25">
      <c r="A47" s="37" t="s">
        <v>39</v>
      </c>
      <c r="B47" s="37"/>
      <c r="C47" s="37"/>
      <c r="D47" s="94">
        <v>119954</v>
      </c>
      <c r="E47" s="115">
        <v>1646</v>
      </c>
      <c r="F47" s="95">
        <v>430000</v>
      </c>
      <c r="G47" s="95">
        <v>204000</v>
      </c>
      <c r="H47" s="95">
        <v>204000</v>
      </c>
      <c r="I47" s="95">
        <v>8765</v>
      </c>
      <c r="J47" s="95">
        <v>520000</v>
      </c>
      <c r="K47" s="59">
        <v>250000</v>
      </c>
      <c r="L47" s="59">
        <v>250000</v>
      </c>
      <c r="M47" s="59">
        <v>676</v>
      </c>
      <c r="N47" s="28">
        <v>850000</v>
      </c>
      <c r="O47" s="28">
        <v>235441</v>
      </c>
      <c r="P47" s="106">
        <v>235441</v>
      </c>
      <c r="Q47" s="28"/>
      <c r="R47" s="28">
        <v>300000</v>
      </c>
      <c r="S47" s="28"/>
      <c r="T47" s="59"/>
      <c r="U47" s="59"/>
      <c r="V47" s="59"/>
      <c r="W47" s="59"/>
      <c r="X47" s="59"/>
      <c r="Y47" s="59">
        <v>1000000</v>
      </c>
      <c r="Z47" s="96">
        <v>3</v>
      </c>
    </row>
    <row r="48" spans="1:27" ht="15.75" x14ac:dyDescent="0.25">
      <c r="A48" s="37" t="s">
        <v>22</v>
      </c>
      <c r="B48" s="37"/>
      <c r="C48" s="37"/>
      <c r="D48" s="94">
        <v>807107</v>
      </c>
      <c r="E48" s="95">
        <v>704281</v>
      </c>
      <c r="F48" s="95">
        <v>730614</v>
      </c>
      <c r="G48" s="95">
        <v>499470</v>
      </c>
      <c r="H48" s="95">
        <v>499470</v>
      </c>
      <c r="I48" s="95">
        <v>303394</v>
      </c>
      <c r="J48" s="95">
        <v>2112000</v>
      </c>
      <c r="K48" s="59">
        <v>889000</v>
      </c>
      <c r="L48" s="59">
        <v>889000</v>
      </c>
      <c r="M48" s="59">
        <v>873296</v>
      </c>
      <c r="N48" s="28">
        <v>2224000</v>
      </c>
      <c r="O48" s="28">
        <v>1102000</v>
      </c>
      <c r="P48" s="106">
        <v>1112198</v>
      </c>
      <c r="Q48" s="28">
        <v>910656</v>
      </c>
      <c r="R48" s="28">
        <v>6720000</v>
      </c>
      <c r="S48" s="28">
        <v>106988</v>
      </c>
      <c r="T48" s="59">
        <f>(2575+15156.35)</f>
        <v>17731.349999999999</v>
      </c>
      <c r="U48" s="59">
        <f>8000000+1000000</f>
        <v>9000000</v>
      </c>
      <c r="V48" s="59"/>
      <c r="W48" s="59">
        <v>9810000</v>
      </c>
      <c r="X48" s="83">
        <f>2900000+200000</f>
        <v>3100000</v>
      </c>
      <c r="Y48" s="59">
        <f>W48-X48+950000</f>
        <v>7660000</v>
      </c>
      <c r="Z48" s="96">
        <v>4</v>
      </c>
      <c r="AA48" s="127" t="s">
        <v>114</v>
      </c>
    </row>
    <row r="49" spans="1:27" ht="15.75" x14ac:dyDescent="0.25">
      <c r="A49" s="37" t="s">
        <v>113</v>
      </c>
      <c r="B49" s="37"/>
      <c r="C49" s="37"/>
      <c r="D49" s="97"/>
      <c r="E49" s="33"/>
      <c r="F49" s="33"/>
      <c r="G49" s="33"/>
      <c r="H49" s="33"/>
      <c r="I49" s="33"/>
      <c r="J49" s="33"/>
      <c r="K49" s="59"/>
      <c r="L49" s="59"/>
      <c r="M49" s="59"/>
      <c r="N49" s="28"/>
      <c r="O49" s="28"/>
      <c r="P49" s="106"/>
      <c r="Q49" s="28"/>
      <c r="R49" s="28"/>
      <c r="S49" s="28"/>
      <c r="T49" s="59"/>
      <c r="U49" s="59"/>
      <c r="V49" s="59"/>
      <c r="W49" s="59"/>
      <c r="X49" s="59"/>
      <c r="Y49" s="59">
        <f>0.5*Y9</f>
        <v>738090.5</v>
      </c>
      <c r="Z49" s="98">
        <v>9</v>
      </c>
      <c r="AA49" s="127" t="s">
        <v>115</v>
      </c>
    </row>
    <row r="50" spans="1:27" ht="15.75" x14ac:dyDescent="0.25">
      <c r="A50" s="37" t="s">
        <v>38</v>
      </c>
      <c r="B50" s="37"/>
      <c r="C50" s="37"/>
      <c r="D50" s="97">
        <v>5700</v>
      </c>
      <c r="E50" s="33">
        <v>6799</v>
      </c>
      <c r="F50" s="33">
        <v>10000</v>
      </c>
      <c r="G50" s="33">
        <v>15000</v>
      </c>
      <c r="H50" s="33">
        <v>15000</v>
      </c>
      <c r="I50" s="33">
        <v>20401</v>
      </c>
      <c r="J50" s="33">
        <v>10000</v>
      </c>
      <c r="K50" s="59">
        <v>5000</v>
      </c>
      <c r="L50" s="59">
        <v>5000</v>
      </c>
      <c r="M50" s="59">
        <v>3275</v>
      </c>
      <c r="N50" s="28">
        <v>10000</v>
      </c>
      <c r="O50" s="28">
        <v>5000</v>
      </c>
      <c r="P50" s="106">
        <v>5000</v>
      </c>
      <c r="Q50" s="28">
        <v>2979</v>
      </c>
      <c r="R50" s="28">
        <v>10000</v>
      </c>
      <c r="S50" s="28">
        <v>5125</v>
      </c>
      <c r="T50" s="59">
        <v>5820.45</v>
      </c>
      <c r="U50" s="59">
        <v>10000</v>
      </c>
      <c r="V50" s="59">
        <f>5141+10220</f>
        <v>15361</v>
      </c>
      <c r="W50" s="59">
        <v>10000</v>
      </c>
      <c r="X50" s="83">
        <f>8276.88/10*12</f>
        <v>9932.2559999999976</v>
      </c>
      <c r="Y50" s="59">
        <v>125000</v>
      </c>
      <c r="Z50" s="98">
        <v>5</v>
      </c>
    </row>
    <row r="51" spans="1:27" ht="15.75" x14ac:dyDescent="0.25">
      <c r="A51" s="37" t="s">
        <v>40</v>
      </c>
      <c r="B51" s="37"/>
      <c r="C51" s="37"/>
      <c r="D51" s="97"/>
      <c r="E51" s="33"/>
      <c r="F51" s="33"/>
      <c r="G51" s="33"/>
      <c r="H51" s="33">
        <v>15000</v>
      </c>
      <c r="I51" s="33"/>
      <c r="J51" s="33">
        <v>100000</v>
      </c>
      <c r="K51" s="59">
        <v>10000</v>
      </c>
      <c r="L51" s="59">
        <v>10000</v>
      </c>
      <c r="M51" s="59"/>
      <c r="N51" s="28">
        <v>100000</v>
      </c>
      <c r="O51" s="28">
        <v>100000</v>
      </c>
      <c r="P51" s="106">
        <v>100000</v>
      </c>
      <c r="Q51" s="28"/>
      <c r="R51" s="28">
        <v>250000</v>
      </c>
      <c r="S51" s="28">
        <v>69500</v>
      </c>
      <c r="T51" s="59">
        <v>175226.65</v>
      </c>
      <c r="U51" s="59">
        <v>50000</v>
      </c>
      <c r="V51" s="59">
        <v>54017</v>
      </c>
      <c r="W51" s="59">
        <v>50000</v>
      </c>
      <c r="X51" s="83">
        <f>44185.3/10*12</f>
        <v>53022.360000000008</v>
      </c>
      <c r="Y51" s="59">
        <v>150000</v>
      </c>
      <c r="Z51" s="98">
        <v>6</v>
      </c>
    </row>
    <row r="52" spans="1:27" ht="15.75" x14ac:dyDescent="0.25">
      <c r="A52" s="37" t="s">
        <v>70</v>
      </c>
      <c r="B52" s="37"/>
      <c r="C52" s="37"/>
      <c r="D52" s="94"/>
      <c r="E52" s="95">
        <v>9809</v>
      </c>
      <c r="F52" s="95">
        <v>50000</v>
      </c>
      <c r="G52" s="95">
        <v>10000</v>
      </c>
      <c r="H52" s="95">
        <v>10000</v>
      </c>
      <c r="I52" s="95"/>
      <c r="J52" s="95">
        <v>50000</v>
      </c>
      <c r="K52" s="59">
        <v>10000</v>
      </c>
      <c r="L52" s="59">
        <v>10000</v>
      </c>
      <c r="M52" s="59">
        <v>10000</v>
      </c>
      <c r="N52" s="28">
        <v>50000</v>
      </c>
      <c r="O52" s="28">
        <v>10000</v>
      </c>
      <c r="P52" s="106">
        <v>10000</v>
      </c>
      <c r="Q52" s="28"/>
      <c r="R52" s="28">
        <v>30000</v>
      </c>
      <c r="S52" s="28"/>
      <c r="T52" s="59"/>
      <c r="U52" s="59"/>
      <c r="V52" s="59"/>
      <c r="W52" s="59"/>
      <c r="X52" s="59"/>
      <c r="Y52" s="59">
        <v>40000</v>
      </c>
      <c r="Z52" s="96">
        <v>7</v>
      </c>
    </row>
    <row r="53" spans="1:27" ht="15.75" x14ac:dyDescent="0.25">
      <c r="A53" s="37" t="s">
        <v>45</v>
      </c>
      <c r="B53" s="37"/>
      <c r="C53" s="37"/>
      <c r="D53" s="97"/>
      <c r="E53" s="33"/>
      <c r="F53" s="33"/>
      <c r="G53" s="33"/>
      <c r="H53" s="33"/>
      <c r="I53" s="33"/>
      <c r="J53" s="33"/>
      <c r="K53" s="59"/>
      <c r="L53" s="59"/>
      <c r="M53" s="59"/>
      <c r="N53" s="28"/>
      <c r="O53" s="28"/>
      <c r="P53" s="106"/>
      <c r="Q53" s="28"/>
      <c r="R53" s="28"/>
      <c r="S53" s="28"/>
      <c r="T53" s="59"/>
      <c r="U53" s="59"/>
      <c r="V53" s="59"/>
      <c r="W53" s="59"/>
      <c r="X53" s="59"/>
      <c r="Y53" s="59"/>
      <c r="Z53" s="98"/>
    </row>
    <row r="54" spans="1:27" ht="15.75" x14ac:dyDescent="0.25">
      <c r="A54" s="37" t="s">
        <v>23</v>
      </c>
      <c r="B54" s="37"/>
      <c r="C54" s="37"/>
      <c r="D54" s="94"/>
      <c r="E54" s="95"/>
      <c r="F54" s="95">
        <v>30000</v>
      </c>
      <c r="G54" s="95">
        <v>25000</v>
      </c>
      <c r="H54" s="95">
        <v>25000</v>
      </c>
      <c r="I54" s="95"/>
      <c r="J54" s="95">
        <v>20000</v>
      </c>
      <c r="K54" s="59"/>
      <c r="L54" s="59"/>
      <c r="M54" s="59">
        <v>200</v>
      </c>
      <c r="N54" s="28"/>
      <c r="O54" s="28"/>
      <c r="P54" s="106"/>
      <c r="Q54" s="28"/>
      <c r="R54" s="28">
        <v>10000</v>
      </c>
      <c r="S54" s="28">
        <v>1110</v>
      </c>
      <c r="T54" s="59"/>
      <c r="U54" s="59"/>
      <c r="V54" s="59"/>
      <c r="W54" s="59"/>
      <c r="X54" s="59"/>
      <c r="Y54" s="59">
        <v>1500000</v>
      </c>
      <c r="Z54" s="96">
        <v>8</v>
      </c>
    </row>
    <row r="55" spans="1:27" ht="15" x14ac:dyDescent="0.2">
      <c r="A55" s="37" t="s">
        <v>102</v>
      </c>
      <c r="B55" s="37"/>
      <c r="C55" s="37"/>
      <c r="D55" s="92">
        <v>269640</v>
      </c>
      <c r="E55" s="93">
        <v>300000</v>
      </c>
      <c r="F55" s="93">
        <v>280000</v>
      </c>
      <c r="G55" s="93">
        <v>300000</v>
      </c>
      <c r="H55" s="93">
        <v>300000</v>
      </c>
      <c r="I55" s="93">
        <v>300000</v>
      </c>
      <c r="J55" s="93">
        <v>300000</v>
      </c>
      <c r="K55" s="59">
        <v>300000</v>
      </c>
      <c r="L55" s="59">
        <v>300000</v>
      </c>
      <c r="M55" s="59">
        <v>300000</v>
      </c>
      <c r="N55" s="28">
        <v>300000</v>
      </c>
      <c r="O55" s="28">
        <v>300000</v>
      </c>
      <c r="P55" s="106">
        <v>300000</v>
      </c>
      <c r="Q55" s="28">
        <v>300000</v>
      </c>
      <c r="R55" s="28">
        <v>300000</v>
      </c>
      <c r="S55" s="28">
        <v>300000</v>
      </c>
      <c r="T55" s="59">
        <v>350000</v>
      </c>
      <c r="U55" s="59">
        <v>350000</v>
      </c>
      <c r="V55" s="59">
        <f>U55</f>
        <v>350000</v>
      </c>
      <c r="W55" s="59">
        <v>385000</v>
      </c>
      <c r="X55" s="121">
        <f>W55</f>
        <v>385000</v>
      </c>
      <c r="Y55" s="59">
        <v>385000</v>
      </c>
      <c r="Z55" s="126"/>
    </row>
    <row r="56" spans="1:27" ht="15.75" x14ac:dyDescent="0.25">
      <c r="A56" s="37" t="s">
        <v>103</v>
      </c>
      <c r="B56" s="37"/>
      <c r="C56" s="37"/>
      <c r="D56" s="92"/>
      <c r="E56" s="93"/>
      <c r="F56" s="93"/>
      <c r="G56" s="93"/>
      <c r="H56" s="93"/>
      <c r="I56" s="93"/>
      <c r="J56" s="93"/>
      <c r="K56" s="59"/>
      <c r="L56" s="59"/>
      <c r="M56" s="59"/>
      <c r="N56" s="28"/>
      <c r="O56" s="28"/>
      <c r="P56" s="106"/>
      <c r="Q56" s="28"/>
      <c r="R56" s="28">
        <v>105000</v>
      </c>
      <c r="S56" s="28">
        <v>115071</v>
      </c>
      <c r="T56" s="59"/>
      <c r="U56" s="59"/>
      <c r="V56" s="59"/>
      <c r="W56" s="59"/>
      <c r="X56" s="59"/>
      <c r="Y56" s="59"/>
      <c r="Z56" s="27"/>
    </row>
    <row r="57" spans="1:27" ht="15" x14ac:dyDescent="0.2">
      <c r="A57" s="37" t="s">
        <v>104</v>
      </c>
      <c r="B57" s="37"/>
      <c r="C57" s="37"/>
      <c r="D57" s="97">
        <v>-485</v>
      </c>
      <c r="E57" s="33"/>
      <c r="F57" s="33">
        <v>20000</v>
      </c>
      <c r="G57" s="33">
        <v>12186</v>
      </c>
      <c r="H57" s="33">
        <v>12186</v>
      </c>
      <c r="I57" s="114"/>
      <c r="J57" s="33">
        <v>15000</v>
      </c>
      <c r="K57" s="59">
        <v>3184</v>
      </c>
      <c r="L57" s="59">
        <v>3184</v>
      </c>
      <c r="M57" s="59"/>
      <c r="N57" s="28">
        <v>10000</v>
      </c>
      <c r="O57" s="28">
        <v>12792</v>
      </c>
      <c r="P57" s="106">
        <v>12792</v>
      </c>
      <c r="Q57" s="28"/>
      <c r="R57" s="28">
        <v>10000</v>
      </c>
      <c r="S57" s="28"/>
      <c r="T57" s="59"/>
      <c r="U57" s="59">
        <v>10000</v>
      </c>
      <c r="V57" s="59"/>
      <c r="W57" s="59">
        <v>5000</v>
      </c>
      <c r="X57" s="59"/>
      <c r="Y57" s="59"/>
      <c r="Z57" s="126"/>
    </row>
    <row r="58" spans="1:27" ht="15.75" x14ac:dyDescent="0.25">
      <c r="A58" s="37" t="s">
        <v>105</v>
      </c>
      <c r="B58" s="37"/>
      <c r="C58" s="37"/>
      <c r="D58" s="92"/>
      <c r="E58" s="93"/>
      <c r="F58" s="93">
        <v>500</v>
      </c>
      <c r="G58" s="93"/>
      <c r="H58" s="93"/>
      <c r="I58" s="93"/>
      <c r="J58" s="93">
        <v>500</v>
      </c>
      <c r="K58" s="59">
        <v>1500</v>
      </c>
      <c r="L58" s="59">
        <v>1500</v>
      </c>
      <c r="M58" s="59"/>
      <c r="N58" s="28">
        <v>1500</v>
      </c>
      <c r="O58" s="28">
        <v>400</v>
      </c>
      <c r="P58" s="106">
        <v>400</v>
      </c>
      <c r="Q58" s="28">
        <v>647</v>
      </c>
      <c r="R58" s="28">
        <v>1000</v>
      </c>
      <c r="S58" s="28">
        <v>568</v>
      </c>
      <c r="T58" s="59">
        <f>(45+72.52+602.83)</f>
        <v>720.35</v>
      </c>
      <c r="U58" s="59"/>
      <c r="V58" s="59">
        <f>150+77</f>
        <v>227</v>
      </c>
      <c r="W58" s="59">
        <v>100</v>
      </c>
      <c r="X58" s="83">
        <f>(178.9+213.49)/10*12</f>
        <v>470.86799999999994</v>
      </c>
      <c r="Y58" s="59">
        <v>500</v>
      </c>
      <c r="Z58" s="126"/>
    </row>
    <row r="59" spans="1:27" ht="15.75" x14ac:dyDescent="0.25">
      <c r="A59" s="26" t="s">
        <v>28</v>
      </c>
      <c r="B59" s="37"/>
      <c r="C59" s="37"/>
      <c r="D59" s="99">
        <f t="shared" ref="D59:J59" si="12">SUM(D37:D58)</f>
        <v>1476657</v>
      </c>
      <c r="E59" s="100">
        <f t="shared" si="12"/>
        <v>1178998</v>
      </c>
      <c r="F59" s="100">
        <f t="shared" si="12"/>
        <v>1905068</v>
      </c>
      <c r="G59" s="100">
        <f t="shared" si="12"/>
        <v>1348145</v>
      </c>
      <c r="H59" s="100">
        <f t="shared" si="12"/>
        <v>1363145</v>
      </c>
      <c r="I59" s="100">
        <f t="shared" si="12"/>
        <v>878732</v>
      </c>
      <c r="J59" s="100">
        <f t="shared" si="12"/>
        <v>3514391.0841999999</v>
      </c>
      <c r="K59" s="83">
        <f>SUM(K37:K58)</f>
        <v>1774484</v>
      </c>
      <c r="L59" s="83">
        <f>SUM(L37:L58)</f>
        <v>1774484</v>
      </c>
      <c r="M59" s="83">
        <f>SUM(M37:M58)</f>
        <v>1515703</v>
      </c>
      <c r="N59" s="66">
        <f>SUM(N37:N58)</f>
        <v>4393403</v>
      </c>
      <c r="O59" s="66">
        <f t="shared" ref="O59:S59" si="13">SUM(O37:O58)</f>
        <v>2260285</v>
      </c>
      <c r="P59" s="107">
        <f t="shared" si="13"/>
        <v>2270483</v>
      </c>
      <c r="Q59" s="66">
        <f t="shared" si="13"/>
        <v>1832594</v>
      </c>
      <c r="R59" s="66">
        <f t="shared" si="13"/>
        <v>8164131</v>
      </c>
      <c r="S59" s="66">
        <f t="shared" si="13"/>
        <v>715878</v>
      </c>
      <c r="T59" s="83">
        <f>SUM(T37:T58)</f>
        <v>674056.45</v>
      </c>
      <c r="U59" s="83">
        <f>SUM(U37:U58)</f>
        <v>9862152</v>
      </c>
      <c r="V59" s="83">
        <f>SUM(V37:V58)</f>
        <v>566085</v>
      </c>
      <c r="W59" s="83">
        <v>10477794.16</v>
      </c>
      <c r="X59" s="83">
        <f>SUM(X37:X58)</f>
        <v>3738697.6199999996</v>
      </c>
      <c r="Y59" s="83">
        <f>SUM(Y37:Y58)</f>
        <v>11920332.9848</v>
      </c>
      <c r="Z59" s="126"/>
    </row>
    <row r="60" spans="1:27" ht="15.75" x14ac:dyDescent="0.25">
      <c r="A60" s="26" t="s">
        <v>29</v>
      </c>
      <c r="B60" s="37"/>
      <c r="C60" s="37"/>
      <c r="D60" s="37"/>
      <c r="E60" s="100"/>
      <c r="F60" s="100">
        <f>+F15-F35-F59</f>
        <v>386033.81000000006</v>
      </c>
      <c r="G60" s="100"/>
      <c r="H60" s="100"/>
      <c r="I60" s="100"/>
      <c r="J60" s="100">
        <v>179587</v>
      </c>
      <c r="K60" s="83">
        <v>179587</v>
      </c>
      <c r="L60" s="59"/>
      <c r="M60" s="59"/>
      <c r="N60" s="66">
        <f>+N15-N35-N59</f>
        <v>1165875</v>
      </c>
      <c r="O60" s="66">
        <v>200000</v>
      </c>
      <c r="P60" s="107"/>
      <c r="Q60" s="66"/>
      <c r="R60" s="66">
        <f>SUM(R15-R35-R59)</f>
        <v>46324</v>
      </c>
      <c r="S60" s="66"/>
      <c r="T60" s="59"/>
      <c r="U60" s="66">
        <f>SUM(U15-U35-U59)</f>
        <v>2297871.8359999992</v>
      </c>
      <c r="V60" s="59"/>
      <c r="W60" s="66">
        <v>2942805.432</v>
      </c>
      <c r="X60" s="59"/>
      <c r="Y60" s="66">
        <f>SUM(Y15-Y35-Y59)</f>
        <v>1127321.7061999999</v>
      </c>
      <c r="Z60" s="126"/>
    </row>
    <row r="61" spans="1:27" ht="15.75" x14ac:dyDescent="0.25">
      <c r="A61" s="62" t="s">
        <v>35</v>
      </c>
      <c r="B61" s="62"/>
      <c r="C61" s="63"/>
      <c r="D61" s="101">
        <f t="shared" ref="D61:M61" si="14">+D35+D59+D60</f>
        <v>1706621</v>
      </c>
      <c r="E61" s="101">
        <f t="shared" si="14"/>
        <v>1416893</v>
      </c>
      <c r="F61" s="101">
        <f t="shared" si="14"/>
        <v>2562286</v>
      </c>
      <c r="G61" s="101">
        <f t="shared" si="14"/>
        <v>1616133</v>
      </c>
      <c r="H61" s="101">
        <f t="shared" si="14"/>
        <v>1631133</v>
      </c>
      <c r="I61" s="101">
        <f t="shared" si="14"/>
        <v>1135272</v>
      </c>
      <c r="J61" s="101">
        <f t="shared" si="14"/>
        <v>3966416.0353999999</v>
      </c>
      <c r="K61" s="101">
        <f t="shared" si="14"/>
        <v>2214071</v>
      </c>
      <c r="L61" s="101">
        <f t="shared" si="14"/>
        <v>2034484</v>
      </c>
      <c r="M61" s="101">
        <f t="shared" si="14"/>
        <v>1766871</v>
      </c>
      <c r="N61" s="66">
        <f>N35+N59+N60</f>
        <v>5841496</v>
      </c>
      <c r="O61" s="66">
        <f t="shared" ref="O61:S61" si="15">O35+O59+O60</f>
        <v>2734575</v>
      </c>
      <c r="P61" s="107">
        <f t="shared" si="15"/>
        <v>2544773</v>
      </c>
      <c r="Q61" s="66">
        <f t="shared" si="15"/>
        <v>2093375</v>
      </c>
      <c r="R61" s="66">
        <f t="shared" si="15"/>
        <v>8511653</v>
      </c>
      <c r="S61" s="66">
        <f t="shared" si="15"/>
        <v>1001555</v>
      </c>
      <c r="T61" s="101">
        <f t="shared" ref="T61:W61" si="16">+T35+T59+T60</f>
        <v>971629.46</v>
      </c>
      <c r="U61" s="101">
        <f t="shared" si="16"/>
        <v>12503953.835999999</v>
      </c>
      <c r="V61" s="101">
        <f t="shared" si="16"/>
        <v>871020</v>
      </c>
      <c r="W61" s="101">
        <v>13807368.791999999</v>
      </c>
      <c r="X61" s="101">
        <f t="shared" ref="X61:Y61" si="17">+X35+X59+X60</f>
        <v>4093365.2019999996</v>
      </c>
      <c r="Y61" s="101">
        <f t="shared" si="17"/>
        <v>13483775.961999999</v>
      </c>
      <c r="Z61" s="126"/>
    </row>
    <row r="62" spans="1:27" ht="15.75" x14ac:dyDescent="0.25">
      <c r="A62" s="55"/>
      <c r="B62" s="55"/>
      <c r="C62" s="55"/>
      <c r="D62" s="102"/>
      <c r="E62" s="103"/>
      <c r="F62" s="103"/>
      <c r="G62" s="103"/>
      <c r="H62" s="103"/>
      <c r="I62" s="103"/>
      <c r="J62" s="36"/>
      <c r="K62" s="91"/>
      <c r="L62" s="91"/>
      <c r="M62" s="91"/>
      <c r="N62" s="90"/>
      <c r="O62" s="90"/>
      <c r="P62" s="106"/>
      <c r="Q62" s="90"/>
      <c r="R62" s="90"/>
      <c r="S62" s="90"/>
      <c r="T62" s="91"/>
      <c r="U62" s="91"/>
      <c r="V62" s="91"/>
      <c r="W62" s="91"/>
      <c r="X62" s="91"/>
      <c r="Y62" s="91"/>
      <c r="Z62" s="126"/>
    </row>
    <row r="63" spans="1:27" ht="15.75" x14ac:dyDescent="0.25">
      <c r="A63" s="62" t="s">
        <v>27</v>
      </c>
      <c r="B63" s="62"/>
      <c r="C63" s="63"/>
      <c r="D63" s="100">
        <f>+D15-D35-D59</f>
        <v>1319624</v>
      </c>
      <c r="E63" s="113">
        <f>+E15-E35-E59</f>
        <v>1603693</v>
      </c>
      <c r="F63" s="100"/>
      <c r="G63" s="100">
        <f>G15-G35-G59</f>
        <v>2044327</v>
      </c>
      <c r="H63" s="100">
        <f>H15-H35-H59</f>
        <v>2029327</v>
      </c>
      <c r="I63" s="113">
        <f>I15-I35-I59</f>
        <v>2369999</v>
      </c>
      <c r="J63" s="100"/>
      <c r="K63" s="100">
        <f>K15-K59-K60</f>
        <v>3224896</v>
      </c>
      <c r="L63" s="100">
        <f>L15-L59-L60</f>
        <v>3404483</v>
      </c>
      <c r="M63" s="113">
        <f>M15-M35-M59</f>
        <v>2612348</v>
      </c>
      <c r="N63" s="28"/>
      <c r="O63" s="100">
        <f t="shared" ref="O63:P63" si="18">O15-O59-O60</f>
        <v>3453123</v>
      </c>
      <c r="P63" s="111">
        <f t="shared" si="18"/>
        <v>3642925</v>
      </c>
      <c r="Q63" s="100">
        <f>Q15-Q35-Q59</f>
        <v>2696882</v>
      </c>
      <c r="R63" s="100"/>
      <c r="S63" s="100">
        <f>S15-S35-S59</f>
        <v>4002677</v>
      </c>
      <c r="T63" s="111">
        <f>T15-T35-T59</f>
        <v>6400454.04</v>
      </c>
      <c r="U63" s="100"/>
      <c r="V63" s="111">
        <f>V15-V35-V59</f>
        <v>10650741.039999999</v>
      </c>
      <c r="W63" s="100"/>
      <c r="X63" s="111">
        <f>X15-X35-X59</f>
        <v>9719732.9619999994</v>
      </c>
      <c r="Y63" s="100"/>
      <c r="Z63" s="126"/>
    </row>
    <row r="64" spans="1:27" ht="15" x14ac:dyDescent="0.25">
      <c r="A64" s="24"/>
      <c r="B64" s="24"/>
      <c r="C64" s="13"/>
      <c r="D64" s="2"/>
      <c r="E64" s="2"/>
      <c r="F64" s="2"/>
      <c r="G64" s="2"/>
      <c r="H64" s="2"/>
      <c r="I64" s="2"/>
      <c r="J64" s="2"/>
      <c r="K64" s="2"/>
    </row>
    <row r="65" spans="1:11" ht="14.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79" spans="1:11" hidden="1" x14ac:dyDescent="0.2"/>
    <row r="82" hidden="1" x14ac:dyDescent="0.2"/>
  </sheetData>
  <pageMargins left="0.36" right="0.35" top="0.75" bottom="0.25" header="0.5" footer="0.5"/>
  <pageSetup scale="54" orientation="landscape" r:id="rId1"/>
  <headerFooter alignWithMargins="0">
    <oddHeader>&amp;C&amp;"Arial,Bold"&amp;12City of Florida City
Community Redevlopment Agency
FY 2022-23 Proposed Budget
FY 2023-24 begins October 1,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Sheet1</vt:lpstr>
      <vt:lpstr>Sheet2</vt:lpstr>
      <vt:lpstr>Updated</vt:lpstr>
      <vt:lpstr>Updated Projects</vt:lpstr>
      <vt:lpstr>Updated Projects (2)</vt:lpstr>
      <vt:lpstr>2021-22 Proposed Budget</vt:lpstr>
      <vt:lpstr>2022-23 Proposed Budget</vt:lpstr>
      <vt:lpstr>2023-24 Proposed Budget</vt:lpstr>
      <vt:lpstr>'2021-22 Proposed Budget'!Print_Area</vt:lpstr>
      <vt:lpstr>'2022-23 Proposed Budget'!Print_Area</vt:lpstr>
      <vt:lpstr>'2023-24 Proposed Budget'!Print_Area</vt:lpstr>
      <vt:lpstr>Sheet1!Print_Area</vt:lpstr>
      <vt:lpstr>Updated!Print_Area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markot</dc:creator>
  <cp:lastModifiedBy>Chad Burkhalter</cp:lastModifiedBy>
  <cp:lastPrinted>2023-09-06T14:22:27Z</cp:lastPrinted>
  <dcterms:created xsi:type="dcterms:W3CDTF">2000-03-06T15:56:18Z</dcterms:created>
  <dcterms:modified xsi:type="dcterms:W3CDTF">2023-09-06T14:24:37Z</dcterms:modified>
</cp:coreProperties>
</file>